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<sst xmlns="http://schemas.openxmlformats.org/spreadsheetml/2006/main" count="688" uniqueCount="311">
  <si>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</si>
  <si>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</si>
  <si>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</si>
  <si>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</si>
  <si>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</si>
  <si>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</si>
  <si>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</si>
  <si>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</si>
  <si>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</si>
  <si>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</si>
  <si>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</si>
  <si>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</si>
  <si>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</si>
  <si>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</si>
  <si>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</si>
  <si>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</si>
  <si>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</si>
  <si>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</si>
  <si>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</si>
  <si>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</si>
  <si>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</si>
  <si>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</si>
  <si>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</si>
  <si>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</si>
  <si>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</si>
  <si>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</si>
  <si>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</si>
  <si>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</si>
  <si>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</si>
  <si>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</si>
  <si>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</si>
  <si>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</si>
  <si>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</si>
  <si>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</si>
  <si>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</si>
  <si>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</si>
  <si>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</si>
  <si>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</si>
  <si>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</si>
  <si>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</si>
  <si>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</si>
  <si>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</si>
  <si>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</si>
  <si>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</si>
  <si>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</si>
  <si>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</si>
  <si>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</si>
  <si>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</si>
  <si>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</si>
  <si>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</si>
  <si>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</si>
  <si>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</si>
  <si>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</si>
  <si>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</si>
  <si>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</si>
  <si>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</si>
  <si>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</si>
  <si>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</si>
  <si>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</si>
  <si>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</si>
  <si>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</si>
  <si>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</si>
  <si>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</si>
  <si>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</si>
  <si>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</si>
  <si>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</si>
  <si>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17-20</t>
  </si>
  <si>
    <t>м4</t>
  </si>
  <si>
    <t>м2</t>
  </si>
  <si>
    <t>м3</t>
  </si>
  <si>
    <t>м1</t>
  </si>
  <si>
    <t>ум</t>
  </si>
  <si>
    <t>КМС</t>
  </si>
  <si>
    <t>МС</t>
  </si>
  <si>
    <t>МСМК</t>
  </si>
  <si>
    <t>ЗМС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</si>
  <si>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</si>
  <si>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</si>
  <si>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</si>
  <si>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</si>
  <si>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</si>
  <si>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</si>
  <si>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</si>
  <si>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</si>
  <si>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</si>
  <si>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</si>
  <si>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</si>
  <si>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</si>
  <si>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</si>
  <si>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</si>
  <si>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</si>
  <si>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ОПРЯ Павел Иванович</t>
  </si>
  <si>
    <t>16.02.89, МС</t>
  </si>
  <si>
    <t>ДВФО</t>
  </si>
  <si>
    <t>Р.САХА Якутия</t>
  </si>
  <si>
    <t>Ерасейнов Т.М., Литавин В.В.</t>
  </si>
  <si>
    <t>БАШКИРОВ Юрий Юрьевич</t>
  </si>
  <si>
    <t>07.11.92, МС</t>
  </si>
  <si>
    <t>Хабаровский, Хабаровск, Д</t>
  </si>
  <si>
    <t>Шилайкин Б.В., Коростылёв Ю.В.</t>
  </si>
  <si>
    <t>24.11.95 мс</t>
  </si>
  <si>
    <t>Приморский, Артем</t>
  </si>
  <si>
    <t>Денисов ВЛ, Писаренко АА</t>
  </si>
  <si>
    <t>14.07.89 мс</t>
  </si>
  <si>
    <t>КФО</t>
  </si>
  <si>
    <t>Р. Крым, Феодосия</t>
  </si>
  <si>
    <t>Татаренко С.Е.</t>
  </si>
  <si>
    <t>14.02.87 мс</t>
  </si>
  <si>
    <t>Р. Крым, Симферополь</t>
  </si>
  <si>
    <t>Щелканов ВВ</t>
  </si>
  <si>
    <t>АЙНУЛЛИН Равиль  Жафярович</t>
  </si>
  <si>
    <t>17.06.89, МС</t>
  </si>
  <si>
    <t>МОС</t>
  </si>
  <si>
    <t>г. Москва, МЧС</t>
  </si>
  <si>
    <t xml:space="preserve"> </t>
  </si>
  <si>
    <t>Леонтьев А.А., Павлов Д.А, Фунтиков ПВ</t>
  </si>
  <si>
    <t>КОКОВИЧ Илья Игоревич</t>
  </si>
  <si>
    <t>15.06.88, МСМК</t>
  </si>
  <si>
    <t>Москва, Д</t>
  </si>
  <si>
    <t>Леонтьев А.А., Павлов Д.А.</t>
  </si>
  <si>
    <t>МОШЕНКО Никита Валерьевич</t>
  </si>
  <si>
    <t>27.12.90, МС</t>
  </si>
  <si>
    <t>Никитин А.М., Франковский В.В.</t>
  </si>
  <si>
    <t>ПЕРЕПЕЛЮК Андрей Александрович</t>
  </si>
  <si>
    <t>06.08.85, МСМК</t>
  </si>
  <si>
    <t>ПРИКАЗЧИКОВ Владимир Александрович</t>
  </si>
  <si>
    <t>06.11.87, ЗМС</t>
  </si>
  <si>
    <t>Москва, ВС</t>
  </si>
  <si>
    <t>ПУЖАЕВ Владимир Владимирович</t>
  </si>
  <si>
    <t>11.06.91, МСМК</t>
  </si>
  <si>
    <t>Фунтиков П.В., Кабанов Д.Б.</t>
  </si>
  <si>
    <t>ХЛОПЕЦКИЙ Владимир Анатольевич</t>
  </si>
  <si>
    <t>КОТОВ Максим Сергеевич</t>
  </si>
  <si>
    <t>16.08.95, мс</t>
  </si>
  <si>
    <t>ПФО</t>
  </si>
  <si>
    <t xml:space="preserve"> Пермский, Пермь </t>
  </si>
  <si>
    <t>Газеев АГ</t>
  </si>
  <si>
    <t>ДЁМИН Антон Александрович</t>
  </si>
  <si>
    <t>16.10.89, МС</t>
  </si>
  <si>
    <t>Саратовская,Балашов</t>
  </si>
  <si>
    <t>Глухов В.Н.</t>
  </si>
  <si>
    <t>ХАРИТОНОВ Алексей Александрович</t>
  </si>
  <si>
    <t>02.11.78 змс</t>
  </si>
  <si>
    <t>Пензенская, Пенза, Д</t>
  </si>
  <si>
    <t>Гритчин В.В.</t>
  </si>
  <si>
    <t>12.07.91. мсмк</t>
  </si>
  <si>
    <t>Гритчин В.В., Мялькин ВВ</t>
  </si>
  <si>
    <t>06.03.90 мс</t>
  </si>
  <si>
    <t xml:space="preserve"> Пензенская Пенза Д</t>
  </si>
  <si>
    <t>Дуднев ВВ</t>
  </si>
  <si>
    <t>ТЫЩЕНКО  Никита Викторович</t>
  </si>
  <si>
    <t>13.04.1990, мс</t>
  </si>
  <si>
    <t>СЕВ</t>
  </si>
  <si>
    <t>Севастополь</t>
  </si>
  <si>
    <t>Кондратов В.Л.</t>
  </si>
  <si>
    <t>18.07.91 кмс</t>
  </si>
  <si>
    <t>СЗФО</t>
  </si>
  <si>
    <t>Калининградская  Д</t>
  </si>
  <si>
    <t>Ярмолюк В.С.   Ярмолюк Н.С.</t>
  </si>
  <si>
    <t>АБДОКОВ Ринат Рамазанович</t>
  </si>
  <si>
    <t>15.05.90, КМС</t>
  </si>
  <si>
    <t>СКФО</t>
  </si>
  <si>
    <t>КЧР, МО</t>
  </si>
  <si>
    <t>Пчёлкин В.И.</t>
  </si>
  <si>
    <t>АБДУЛКАДИРОВ Магомед Камингаджиевич</t>
  </si>
  <si>
    <t>19.11.92, МС</t>
  </si>
  <si>
    <t>Ставропольский, Ставрополь,Д</t>
  </si>
  <si>
    <t>Захаркин А.В.</t>
  </si>
  <si>
    <t>АХМАДОВ Арби Хусейнович</t>
  </si>
  <si>
    <t>20.05.89, МС</t>
  </si>
  <si>
    <t>Чеченская, МО</t>
  </si>
  <si>
    <t>Чапаев В.Х. Мехтиев Х.У.</t>
  </si>
  <si>
    <t>СИДАКОВ Азамат Мурадович</t>
  </si>
  <si>
    <t>29.03.83, МС</t>
  </si>
  <si>
    <t>Папшуов М.А.</t>
  </si>
  <si>
    <t>ГЕРЕКОВ Рустам Магомедрасулович</t>
  </si>
  <si>
    <t>25.07.95, МС</t>
  </si>
  <si>
    <t>СПБ</t>
  </si>
  <si>
    <t>С-Петербург, МО</t>
  </si>
  <si>
    <t>Болов В.В.</t>
  </si>
  <si>
    <t>КИРЮХИН Сергей Александрович</t>
  </si>
  <si>
    <t>23.02.87, ЗМС</t>
  </si>
  <si>
    <t>Кусакин С.И., Удовик С.В.</t>
  </si>
  <si>
    <t>ХОЧУЕВ Мурат Назирович</t>
  </si>
  <si>
    <t>02.03.92, МС</t>
  </si>
  <si>
    <t>С-Петербург, Д</t>
  </si>
  <si>
    <t>Романов К.И.</t>
  </si>
  <si>
    <t>ДЕМЬЯНЕНКО Сергей Александрович</t>
  </si>
  <si>
    <t>13.02.92, МС</t>
  </si>
  <si>
    <t>СФО</t>
  </si>
  <si>
    <t>Омская, Омск, МО, СибГУФК</t>
  </si>
  <si>
    <t>009093</t>
  </si>
  <si>
    <t>Горбунов АВ Бобровский В.А</t>
  </si>
  <si>
    <t>КИРИЛЛОВ Никита Викторович</t>
  </si>
  <si>
    <t>07.06.97, КМС</t>
  </si>
  <si>
    <t>Новосибирская, Новосибирск, МО</t>
  </si>
  <si>
    <t>Мордвинов А.И.</t>
  </si>
  <si>
    <t>КОЖЕВНИКОВ Семен Николаевич</t>
  </si>
  <si>
    <t>21.11.88, МС</t>
  </si>
  <si>
    <t>Красноярский, Сосновоборск МО</t>
  </si>
  <si>
    <t>009053024</t>
  </si>
  <si>
    <t>Батурин А.В., Калентьев В.И.</t>
  </si>
  <si>
    <t>АДАЕВ Исмаил Залимханович</t>
  </si>
  <si>
    <t>09.04.94, КМС</t>
  </si>
  <si>
    <t>УФО</t>
  </si>
  <si>
    <t>ХМАО-Югра, Радужный</t>
  </si>
  <si>
    <t>Акаев Р.А., Саркисян А.А.</t>
  </si>
  <si>
    <t>КРИВЫХ Никита Александрович</t>
  </si>
  <si>
    <t>22.11.93 кмс</t>
  </si>
  <si>
    <t>Курганская, Шадринск</t>
  </si>
  <si>
    <t>Старцев АА, Жавкин ЭБ</t>
  </si>
  <si>
    <t>СУХАНОВ Денис Николаевич</t>
  </si>
  <si>
    <t>22.03.91 мсмк</t>
  </si>
  <si>
    <t>Курганская Курган</t>
  </si>
  <si>
    <t>Стенников МГ</t>
  </si>
  <si>
    <t>НИКУЛИН Иван Дмитриевич</t>
  </si>
  <si>
    <t>20.03.93, МС</t>
  </si>
  <si>
    <t>Свердловская, В.Пышма, Д</t>
  </si>
  <si>
    <t>Стенников ВГ Мельников АН</t>
  </si>
  <si>
    <t>ПОЗДЕЕВ Дмитрий Андреевич</t>
  </si>
  <si>
    <t>06.05.95, МС</t>
  </si>
  <si>
    <t>СУХОГУЗОВ Иван Сергеевич</t>
  </si>
  <si>
    <t>19.02.92, МС</t>
  </si>
  <si>
    <t>БОГДАНОВ Дмитрий Александрович</t>
  </si>
  <si>
    <t>23.03.92, КМС</t>
  </si>
  <si>
    <t>ЦФО</t>
  </si>
  <si>
    <t>Ивановская, Иваново, ВС</t>
  </si>
  <si>
    <t xml:space="preserve">Изместьев </t>
  </si>
  <si>
    <t>МОТОРКИН Андрей Владимирович</t>
  </si>
  <si>
    <t>19.07.80 мсмк</t>
  </si>
  <si>
    <t>Брянская Брянск Д</t>
  </si>
  <si>
    <t xml:space="preserve">Хотмиров СЗ,  </t>
  </si>
  <si>
    <t xml:space="preserve">УЛЬЯХОВ Александр Александрович </t>
  </si>
  <si>
    <t>16.07.88 мс</t>
  </si>
  <si>
    <t>000387</t>
  </si>
  <si>
    <t>Терешок Ал.А, Терешок Ан. А</t>
  </si>
  <si>
    <t>КУРЖЕВ Али Рамазанович</t>
  </si>
  <si>
    <t>28.04.89, МСМК</t>
  </si>
  <si>
    <t>Рязанская, Рязань, Д</t>
  </si>
  <si>
    <t>Фофанов К.Н.</t>
  </si>
  <si>
    <t>ЖЕЛАГА Филипп Олегович</t>
  </si>
  <si>
    <t>15.05.92, МС</t>
  </si>
  <si>
    <t>Воронежская, Воронеж</t>
  </si>
  <si>
    <t>Гончаров С.Ю.</t>
  </si>
  <si>
    <t>03.10.94, МС</t>
  </si>
  <si>
    <t>Ярославская, Ярославль</t>
  </si>
  <si>
    <t>Хореев Ю.А.</t>
  </si>
  <si>
    <t>КОРОЛЕВ Сергей Владимирович</t>
  </si>
  <si>
    <t>Смоленская, Гагарин</t>
  </si>
  <si>
    <t>Шкатов ВЮ</t>
  </si>
  <si>
    <t>18.08.93 мс</t>
  </si>
  <si>
    <t>Московская, Дмитров</t>
  </si>
  <si>
    <t>Храпов АВ</t>
  </si>
  <si>
    <t>09.04.90 кмс</t>
  </si>
  <si>
    <t>МАТЕВОСЯН Левон Эдуардович</t>
  </si>
  <si>
    <t>30.10.1988 мс</t>
  </si>
  <si>
    <t>ЮФО</t>
  </si>
  <si>
    <t>Краснодарский край Новоросийск, Д</t>
  </si>
  <si>
    <t>Дученко ВФ Гарькуша АВ</t>
  </si>
  <si>
    <t>МКРДУМЯН Гагик Гайкович</t>
  </si>
  <si>
    <t>05.06.93 мс</t>
  </si>
  <si>
    <t>Краснодарский край Армавир, Д</t>
  </si>
  <si>
    <t>Погосян ВГ</t>
  </si>
  <si>
    <t>КИЯТОВ Заур Шумафович</t>
  </si>
  <si>
    <t>16.06.92, КМС</t>
  </si>
  <si>
    <t>Краснодарский, Лабинск, Д</t>
  </si>
  <si>
    <t>Нагоев РМ</t>
  </si>
  <si>
    <t>ШЕВЦОВ Андрей Андреевич</t>
  </si>
  <si>
    <t xml:space="preserve">ЕРМОЛАЕВ Сергей Алексеевич </t>
  </si>
  <si>
    <t>КАЗАРЯН Тигран Седракович</t>
  </si>
  <si>
    <t>ЛЕБЕДЕВ Георгий Андреевич</t>
  </si>
  <si>
    <t>ФЕТИСОВ Алексей Игоревич</t>
  </si>
  <si>
    <t>в.к. 82 кг.</t>
  </si>
  <si>
    <t>27.11.87, МС</t>
  </si>
  <si>
    <t>БУДИМИРОВ Алексей Евгеньевич</t>
  </si>
  <si>
    <t>ПОЖИДАЕВ Егор Николаевич</t>
  </si>
  <si>
    <t>ПАХОМОВ Иван Геннадьевич</t>
  </si>
  <si>
    <t>РЫБИН Дмитрий Сергеевич</t>
  </si>
  <si>
    <t>ВИНОГРАДОВ Иван Владимирович</t>
  </si>
  <si>
    <t>28.02.90, МС</t>
  </si>
  <si>
    <t>Боков В.Н., Веремеев А.Г.</t>
  </si>
  <si>
    <t>ХАТХОХУ Байзет Заурбиевич</t>
  </si>
  <si>
    <t>19.01.91 кмс</t>
  </si>
  <si>
    <t>Краснодарский, Армавир</t>
  </si>
  <si>
    <t>Псеунов М.А., Хабаху А.Б.</t>
  </si>
  <si>
    <t>КУПРАШВИЛИ Родион Автандилович</t>
  </si>
  <si>
    <t>07.02.95, МС</t>
  </si>
  <si>
    <t>Краснодарский, Армавир, Д</t>
  </si>
  <si>
    <t>Бабоян Р.М.</t>
  </si>
  <si>
    <t>ГАЛСТЯН Самвел Мкртичович</t>
  </si>
  <si>
    <t>22.07.93 мс</t>
  </si>
  <si>
    <t>Погосян В.Г.</t>
  </si>
  <si>
    <t>МАКСИМОВ Евгений Олегович</t>
  </si>
  <si>
    <t>09.06.87, МС</t>
  </si>
  <si>
    <t>Московская, Мытищи</t>
  </si>
  <si>
    <t>Воробьёв Д.В.</t>
  </si>
  <si>
    <t>НОВИКОВ Семён Сергеевич</t>
  </si>
  <si>
    <t>07.08.95, МС</t>
  </si>
  <si>
    <t>Москва</t>
  </si>
  <si>
    <t>Филимонов СН</t>
  </si>
  <si>
    <t>4:0</t>
  </si>
  <si>
    <t>53 участника</t>
  </si>
  <si>
    <t>3:0</t>
  </si>
  <si>
    <t>3:1</t>
  </si>
  <si>
    <t>2:0</t>
  </si>
  <si>
    <t>17-18</t>
  </si>
  <si>
    <t>23-34</t>
  </si>
  <si>
    <t>35-53</t>
  </si>
  <si>
    <t>б/м</t>
  </si>
  <si>
    <t>19-22</t>
  </si>
  <si>
    <t>С-Петербург, ВС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</si>
</sst>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 applyProtection="1">
      <alignment/>
      <protection hidden="1" locked="0"/>
    </xf>
    <xf numFmtId="0" fontId="0" fillId="0" borderId="3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0" xfId="0" applyBorder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73" fillId="35" borderId="0" xfId="0" applyFont="1" applyFill="1" applyAlignment="1" applyProtection="1">
      <alignment/>
      <protection hidden="1"/>
    </xf>
    <xf numFmtId="0" fontId="0" fillId="35" borderId="30" xfId="0" applyFont="1" applyFill="1" applyBorder="1" applyAlignment="1" applyProtection="1">
      <alignment/>
      <protection hidden="1" locked="0"/>
    </xf>
    <xf numFmtId="0" fontId="0" fillId="35" borderId="30" xfId="59" applyNumberFormat="1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 locked="0"/>
    </xf>
    <xf numFmtId="0" fontId="0" fillId="0" borderId="30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0" fillId="35" borderId="31" xfId="0" applyFill="1" applyBorder="1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59" applyNumberFormat="1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38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/>
      <protection hidden="1" locked="0"/>
    </xf>
    <xf numFmtId="0" fontId="2" fillId="35" borderId="15" xfId="0" applyNumberFormat="1" applyFont="1" applyFill="1" applyBorder="1" applyAlignment="1" applyProtection="1">
      <alignment horizontal="center"/>
      <protection hidden="1" locked="0"/>
    </xf>
    <xf numFmtId="0" fontId="2" fillId="0" borderId="39" xfId="0" applyFont="1" applyBorder="1" applyAlignment="1" applyProtection="1">
      <alignment horizontal="center"/>
      <protection hidden="1" locked="0"/>
    </xf>
    <xf numFmtId="0" fontId="2" fillId="0" borderId="40" xfId="0" applyFont="1" applyBorder="1" applyAlignment="1" applyProtection="1">
      <alignment horizontal="center"/>
      <protection hidden="1" locked="0"/>
    </xf>
    <xf numFmtId="0" fontId="74" fillId="0" borderId="40" xfId="0" applyFont="1" applyBorder="1" applyAlignment="1" applyProtection="1">
      <alignment horizontal="center"/>
      <protection hidden="1" locked="0"/>
    </xf>
    <xf numFmtId="0" fontId="74" fillId="0" borderId="15" xfId="0" applyNumberFormat="1" applyFont="1" applyFill="1" applyBorder="1" applyAlignment="1" applyProtection="1">
      <alignment horizontal="center"/>
      <protection hidden="1" locked="0"/>
    </xf>
    <xf numFmtId="0" fontId="74" fillId="35" borderId="15" xfId="0" applyNumberFormat="1" applyFont="1" applyFill="1" applyBorder="1" applyAlignment="1" applyProtection="1">
      <alignment horizontal="center"/>
      <protection hidden="1" locked="0"/>
    </xf>
    <xf numFmtId="0" fontId="74" fillId="0" borderId="39" xfId="0" applyFont="1" applyBorder="1" applyAlignment="1" applyProtection="1">
      <alignment horizontal="center"/>
      <protection hidden="1" locked="0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3" fillId="36" borderId="4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4" xfId="0" applyFont="1" applyFill="1" applyBorder="1" applyAlignment="1" applyProtection="1">
      <alignment horizontal="center" vertical="center"/>
      <protection hidden="1" locked="0"/>
    </xf>
    <xf numFmtId="0" fontId="3" fillId="0" borderId="35" xfId="0" applyFont="1" applyFill="1" applyBorder="1" applyAlignment="1" applyProtection="1">
      <alignment horizontal="center" vertical="center"/>
      <protection hidden="1" locked="0"/>
    </xf>
    <xf numFmtId="0" fontId="3" fillId="0" borderId="36" xfId="0" applyFont="1" applyFill="1" applyBorder="1" applyAlignment="1" applyProtection="1">
      <alignment horizontal="center" vertical="center"/>
      <protection hidden="1" locked="0"/>
    </xf>
    <xf numFmtId="0" fontId="2" fillId="0" borderId="38" xfId="0" applyFont="1" applyBorder="1" applyAlignment="1" applyProtection="1">
      <alignment horizontal="left" vertical="center"/>
      <protection hidden="1"/>
    </xf>
    <xf numFmtId="0" fontId="74" fillId="35" borderId="38" xfId="0" applyFont="1" applyFill="1" applyBorder="1" applyAlignment="1" applyProtection="1">
      <alignment horizontal="left" vertical="center"/>
      <protection hidden="1"/>
    </xf>
    <xf numFmtId="0" fontId="74" fillId="0" borderId="38" xfId="0" applyFont="1" applyBorder="1" applyAlignment="1" applyProtection="1">
      <alignment horizontal="left" vertical="center"/>
      <protection hidden="1"/>
    </xf>
    <xf numFmtId="0" fontId="74" fillId="0" borderId="39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5" fillId="0" borderId="0" xfId="0" applyNumberFormat="1" applyFont="1" applyAlignment="1">
      <alignment/>
    </xf>
    <xf numFmtId="0" fontId="75" fillId="0" borderId="0" xfId="0" applyNumberFormat="1" applyFont="1" applyAlignment="1">
      <alignment horizontal="center"/>
    </xf>
    <xf numFmtId="0" fontId="76" fillId="0" borderId="0" xfId="0" applyNumberFormat="1" applyFont="1" applyBorder="1" applyAlignment="1">
      <alignment/>
    </xf>
    <xf numFmtId="0" fontId="76" fillId="0" borderId="14" xfId="0" applyNumberFormat="1" applyFont="1" applyBorder="1" applyAlignment="1">
      <alignment horizontal="center"/>
    </xf>
    <xf numFmtId="0" fontId="76" fillId="0" borderId="18" xfId="0" applyNumberFormat="1" applyFont="1" applyBorder="1" applyAlignment="1">
      <alignment/>
    </xf>
    <xf numFmtId="0" fontId="77" fillId="0" borderId="13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17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43" xfId="0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 vertical="top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0" fontId="0" fillId="0" borderId="44" xfId="0" applyNumberFormat="1" applyFont="1" applyBorder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20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7" fillId="0" borderId="30" xfId="0" applyFont="1" applyBorder="1" applyAlignment="1" applyProtection="1">
      <alignment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14" fillId="0" borderId="23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0" fillId="35" borderId="30" xfId="0" applyNumberFormat="1" applyFont="1" applyFill="1" applyBorder="1" applyAlignment="1">
      <alignment horizontal="center" vertical="center" wrapText="1"/>
    </xf>
    <xf numFmtId="49" fontId="0" fillId="35" borderId="30" xfId="0" applyNumberFormat="1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2" xfId="0" applyFont="1" applyBorder="1" applyAlignment="1">
      <alignment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32" fillId="0" borderId="30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NumberFormat="1" applyFont="1" applyFill="1" applyBorder="1" applyAlignment="1">
      <alignment horizontal="left" vertical="center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0" fontId="76" fillId="0" borderId="17" xfId="0" applyNumberFormat="1" applyFont="1" applyBorder="1" applyAlignment="1">
      <alignment horizontal="center"/>
    </xf>
    <xf numFmtId="0" fontId="76" fillId="0" borderId="16" xfId="0" applyNumberFormat="1" applyFont="1" applyBorder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7" fillId="0" borderId="40" xfId="42" applyNumberFormat="1" applyFont="1" applyBorder="1" applyAlignment="1" applyProtection="1">
      <alignment horizontal="left" vertical="center" wrapText="1"/>
      <protection locked="0"/>
    </xf>
    <xf numFmtId="0" fontId="15" fillId="0" borderId="0" xfId="42" applyNumberFormat="1" applyFont="1" applyAlignment="1" applyProtection="1">
      <alignment horizontal="center"/>
      <protection locked="0"/>
    </xf>
    <xf numFmtId="0" fontId="6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8" fillId="0" borderId="40" xfId="42" applyNumberFormat="1" applyFont="1" applyBorder="1" applyAlignment="1" applyProtection="1">
      <alignment horizontal="left" vertical="center" wrapText="1"/>
      <protection locked="0"/>
    </xf>
    <xf numFmtId="0" fontId="78" fillId="0" borderId="39" xfId="0" applyNumberFormat="1" applyFont="1" applyBorder="1" applyAlignment="1" applyProtection="1">
      <alignment horizontal="left" vertical="center" wrapText="1"/>
      <protection locked="0"/>
    </xf>
    <xf numFmtId="0" fontId="78" fillId="0" borderId="4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10" fillId="0" borderId="61" xfId="0" applyNumberFormat="1" applyFont="1" applyBorder="1" applyAlignment="1" applyProtection="1">
      <alignment horizontal="center" vertical="center" wrapText="1"/>
      <protection locked="0"/>
    </xf>
    <xf numFmtId="0" fontId="10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37" xfId="42" applyNumberFormat="1" applyFont="1" applyBorder="1" applyAlignment="1" applyProtection="1">
      <alignment horizontal="left" vertical="center" wrapText="1"/>
      <protection locked="0"/>
    </xf>
    <xf numFmtId="0" fontId="10" fillId="0" borderId="63" xfId="0" applyNumberFormat="1" applyFont="1" applyBorder="1" applyAlignment="1" applyProtection="1">
      <alignment horizontal="center" vertical="center" wrapText="1"/>
      <protection locked="0"/>
    </xf>
    <xf numFmtId="0" fontId="78" fillId="0" borderId="39" xfId="42" applyNumberFormat="1" applyFont="1" applyBorder="1" applyAlignment="1" applyProtection="1">
      <alignment horizontal="left" vertical="center" wrapText="1"/>
      <protection locked="0"/>
    </xf>
    <xf numFmtId="0" fontId="17" fillId="0" borderId="64" xfId="42" applyNumberFormat="1" applyFont="1" applyBorder="1" applyAlignment="1" applyProtection="1">
      <alignment horizontal="center" vertical="center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78" fillId="0" borderId="24" xfId="42" applyNumberFormat="1" applyFont="1" applyBorder="1" applyAlignment="1" applyProtection="1">
      <alignment horizontal="left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4" fillId="0" borderId="26" xfId="42" applyNumberFormat="1" applyFont="1" applyBorder="1" applyAlignment="1" applyProtection="1">
      <alignment horizontal="center" vertical="center" wrapText="1"/>
      <protection locked="0"/>
    </xf>
    <xf numFmtId="0" fontId="4" fillId="0" borderId="64" xfId="42" applyNumberFormat="1" applyFont="1" applyBorder="1" applyAlignment="1" applyProtection="1">
      <alignment horizontal="center" vertical="center" wrapText="1"/>
      <protection locked="0"/>
    </xf>
    <xf numFmtId="0" fontId="4" fillId="0" borderId="71" xfId="42" applyNumberFormat="1" applyFont="1" applyBorder="1" applyAlignment="1" applyProtection="1">
      <alignment horizontal="center" vertical="center" wrapText="1"/>
      <protection locked="0"/>
    </xf>
    <xf numFmtId="0" fontId="4" fillId="0" borderId="27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72" xfId="42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31" fillId="36" borderId="46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23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47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8" fillId="0" borderId="75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8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/>
    </xf>
    <xf numFmtId="0" fontId="0" fillId="0" borderId="77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/>
    </xf>
    <xf numFmtId="49" fontId="7" fillId="0" borderId="79" xfId="0" applyNumberFormat="1" applyFont="1" applyBorder="1" applyAlignment="1">
      <alignment horizontal="center" vertical="center" wrapText="1"/>
    </xf>
    <xf numFmtId="0" fontId="0" fillId="0" borderId="79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0" fillId="0" borderId="79" xfId="42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79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49" fontId="24" fillId="0" borderId="76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79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8" fillId="0" borderId="79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7" fillId="0" borderId="4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7" fillId="38" borderId="30" xfId="0" applyFont="1" applyFill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8" fillId="0" borderId="30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 applyProtection="1">
      <alignment horizontal="center" vertical="center" wrapText="1"/>
      <protection/>
    </xf>
    <xf numFmtId="0" fontId="29" fillId="0" borderId="39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80" xfId="42" applyFont="1" applyFill="1" applyBorder="1" applyAlignment="1" applyProtection="1">
      <alignment horizontal="center" vertical="center" wrapText="1"/>
      <protection/>
    </xf>
    <xf numFmtId="0" fontId="78" fillId="0" borderId="79" xfId="0" applyNumberFormat="1" applyFont="1" applyBorder="1" applyAlignment="1">
      <alignment horizontal="left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9" fontId="7" fillId="0" borderId="93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7" fillId="0" borderId="87" xfId="42" applyFont="1" applyFill="1" applyBorder="1" applyAlignment="1" applyProtection="1">
      <alignment horizontal="center" vertical="center" wrapText="1"/>
      <protection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left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left" vertical="center" wrapText="1"/>
    </xf>
    <xf numFmtId="0" fontId="7" fillId="0" borderId="85" xfId="0" applyFont="1" applyBorder="1" applyAlignment="1">
      <alignment horizontal="center" vertical="center" wrapText="1"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14" fillId="36" borderId="23" xfId="42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7" fillId="0" borderId="8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left" vertical="center" wrapText="1"/>
    </xf>
    <xf numFmtId="0" fontId="3" fillId="39" borderId="41" xfId="0" applyFont="1" applyFill="1" applyBorder="1" applyAlignment="1" applyProtection="1">
      <alignment horizontal="center" vertical="center"/>
      <protection hidden="1" locked="0"/>
    </xf>
    <xf numFmtId="0" fontId="3" fillId="39" borderId="94" xfId="0" applyFont="1" applyFill="1" applyBorder="1" applyAlignment="1" applyProtection="1">
      <alignment horizontal="center" vertical="center"/>
      <protection hidden="1" locked="0"/>
    </xf>
    <xf numFmtId="0" fontId="3" fillId="39" borderId="95" xfId="0" applyFont="1" applyFill="1" applyBorder="1" applyAlignment="1" applyProtection="1">
      <alignment horizontal="center" vertical="center"/>
      <protection hidden="1" locked="0"/>
    </xf>
    <xf numFmtId="0" fontId="33" fillId="0" borderId="24" xfId="0" applyFont="1" applyBorder="1" applyAlignment="1" applyProtection="1">
      <alignment horizontal="center" vertical="center" textRotation="90" wrapText="1"/>
      <protection hidden="1"/>
    </xf>
    <xf numFmtId="0" fontId="33" fillId="0" borderId="25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33" fillId="0" borderId="24" xfId="0" applyFont="1" applyBorder="1" applyAlignment="1" applyProtection="1">
      <alignment vertical="center" textRotation="90" wrapText="1"/>
      <protection/>
    </xf>
    <xf numFmtId="0" fontId="33" fillId="0" borderId="25" xfId="0" applyFont="1" applyBorder="1" applyAlignment="1" applyProtection="1">
      <alignment vertical="center" textRotation="90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7" fillId="0" borderId="82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 hidden="1"/>
    </xf>
    <xf numFmtId="0" fontId="33" fillId="0" borderId="25" xfId="0" applyFont="1" applyBorder="1" applyAlignment="1" applyProtection="1">
      <alignment horizontal="center" vertical="center" wrapText="1"/>
      <protection hidden="1"/>
    </xf>
    <xf numFmtId="0" fontId="19" fillId="0" borderId="26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22" fillId="40" borderId="26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27" xfId="0" applyFont="1" applyFill="1" applyBorder="1" applyAlignment="1">
      <alignment horizontal="center" vertical="center"/>
    </xf>
    <xf numFmtId="0" fontId="23" fillId="0" borderId="6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2" fillId="37" borderId="26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horizontal="center" vertical="center"/>
    </xf>
    <xf numFmtId="0" fontId="22" fillId="38" borderId="26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27" xfId="0" applyFont="1" applyFill="1" applyBorder="1" applyAlignment="1">
      <alignment horizontal="center" vertical="center"/>
    </xf>
    <xf numFmtId="0" fontId="21" fillId="37" borderId="0" xfId="42" applyFont="1" applyFill="1" applyBorder="1" applyAlignment="1" applyProtection="1">
      <alignment horizontal="center" vertical="center"/>
      <protection/>
    </xf>
    <xf numFmtId="0" fontId="21" fillId="37" borderId="92" xfId="42" applyFont="1" applyFill="1" applyBorder="1" applyAlignment="1" applyProtection="1">
      <alignment horizontal="center" vertical="center"/>
      <protection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25" xfId="42" applyFont="1" applyBorder="1" applyAlignment="1" applyProtection="1">
      <alignment horizontal="left" vertical="center" wrapText="1"/>
      <protection/>
    </xf>
    <xf numFmtId="0" fontId="10" fillId="0" borderId="61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40" xfId="42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266700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ownloads\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 САМБО среди мужчин.</v>
          </cell>
        </row>
        <row r="3">
          <cell r="A3" t="str">
            <v>4-8 марта 2016.                                                         г.Химки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5"/>
  <sheetViews>
    <sheetView zoomScalePageLayoutView="0" workbookViewId="0" topLeftCell="A40">
      <selection activeCell="F59" sqref="F59:F60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  <col min="10" max="10" width="3.00390625" style="0" customWidth="1"/>
    <col min="13" max="19" width="9.140625" style="0" customWidth="1"/>
    <col min="20" max="20" width="16.57421875" style="0" customWidth="1"/>
  </cols>
  <sheetData>
    <row r="1" spans="1:8" ht="21.75" customHeight="1" thickBot="1">
      <c r="A1" s="272" t="s">
        <v>29</v>
      </c>
      <c r="B1" s="272"/>
      <c r="C1" s="272"/>
      <c r="D1" s="272"/>
      <c r="E1" s="272"/>
      <c r="F1" s="272"/>
      <c r="G1" s="272"/>
      <c r="H1" s="272"/>
    </row>
    <row r="2" spans="2:9" ht="19.5" customHeight="1" thickBot="1">
      <c r="B2" s="273" t="s">
        <v>32</v>
      </c>
      <c r="C2" s="273"/>
      <c r="D2" s="274" t="str">
        <f>'[2]реквизиты'!$A$2</f>
        <v>Чемпионат России по  САМБО среди мужчин.</v>
      </c>
      <c r="E2" s="275"/>
      <c r="F2" s="275"/>
      <c r="G2" s="275"/>
      <c r="H2" s="276"/>
      <c r="I2" s="172"/>
    </row>
    <row r="3" spans="1:8" ht="19.5" customHeight="1">
      <c r="A3" s="348" t="str">
        <f>'[2]реквизиты'!$A$3</f>
        <v>4-8 марта 2016.                                                         г.Химки</v>
      </c>
      <c r="B3" s="348"/>
      <c r="C3" s="348"/>
      <c r="D3" s="348"/>
      <c r="E3" s="348"/>
      <c r="F3" s="348"/>
      <c r="G3" s="348"/>
      <c r="H3" s="348"/>
    </row>
    <row r="4" spans="4:5" ht="12.75" customHeight="1">
      <c r="D4" s="349" t="s">
        <v>272</v>
      </c>
      <c r="E4" s="349"/>
    </row>
    <row r="5" spans="1:20" ht="12.75" customHeight="1">
      <c r="A5" s="283" t="s">
        <v>2</v>
      </c>
      <c r="B5" s="337" t="s">
        <v>3</v>
      </c>
      <c r="C5" s="283" t="s">
        <v>4</v>
      </c>
      <c r="D5" s="283" t="s">
        <v>5</v>
      </c>
      <c r="E5" s="306" t="s">
        <v>6</v>
      </c>
      <c r="F5" s="351"/>
      <c r="G5" s="283" t="s">
        <v>8</v>
      </c>
      <c r="H5" s="283" t="s">
        <v>7</v>
      </c>
      <c r="O5" s="350"/>
      <c r="P5" s="350"/>
      <c r="Q5" s="350"/>
      <c r="R5" s="173"/>
      <c r="S5" s="174"/>
      <c r="T5" s="174"/>
    </row>
    <row r="6" spans="1:25" ht="12.75" customHeight="1">
      <c r="A6" s="284"/>
      <c r="B6" s="338"/>
      <c r="C6" s="284"/>
      <c r="D6" s="284"/>
      <c r="E6" s="307"/>
      <c r="F6" s="352"/>
      <c r="G6" s="284"/>
      <c r="H6" s="284"/>
      <c r="J6" s="165"/>
      <c r="K6" s="165"/>
      <c r="L6" s="165"/>
      <c r="M6" s="165"/>
      <c r="N6" s="175"/>
      <c r="O6" s="175" t="s">
        <v>72</v>
      </c>
      <c r="P6" s="175" t="s">
        <v>73</v>
      </c>
      <c r="Q6" s="176" t="s">
        <v>74</v>
      </c>
      <c r="R6" s="177" t="s">
        <v>75</v>
      </c>
      <c r="S6" s="178"/>
      <c r="T6" s="165"/>
      <c r="U6" s="179" t="s">
        <v>72</v>
      </c>
      <c r="V6" s="179" t="s">
        <v>73</v>
      </c>
      <c r="W6" s="180" t="s">
        <v>74</v>
      </c>
      <c r="X6" s="180" t="s">
        <v>75</v>
      </c>
      <c r="Y6" s="165"/>
    </row>
    <row r="7" spans="1:25" ht="12.75" customHeight="1">
      <c r="A7" s="310">
        <v>1</v>
      </c>
      <c r="B7" s="312">
        <v>1</v>
      </c>
      <c r="C7" s="313" t="s">
        <v>240</v>
      </c>
      <c r="D7" s="285" t="s">
        <v>241</v>
      </c>
      <c r="E7" s="306" t="s">
        <v>225</v>
      </c>
      <c r="F7" s="304" t="s">
        <v>242</v>
      </c>
      <c r="G7" s="330"/>
      <c r="H7" s="305" t="s">
        <v>243</v>
      </c>
      <c r="J7" s="261">
        <v>1</v>
      </c>
      <c r="K7" s="262" t="str">
        <f>_xlfn.IFERROR(RIGHT(D7,LEN(D7)-FIND("*",SUBSTITUTE(D7," ","*",LEN(D7)-LEN(SUBSTITUTE(D7," ",""))))),D7)</f>
        <v>МС</v>
      </c>
      <c r="L7" s="263" t="str">
        <f>_xlfn.IFERROR(LEFT(F7,FIND(",",F7)-1),F7)</f>
        <v>Воронежская</v>
      </c>
      <c r="M7" s="181">
        <v>1</v>
      </c>
      <c r="N7" s="175" t="str">
        <f>L7</f>
        <v>Воронежская</v>
      </c>
      <c r="O7" s="182">
        <f>_xlfn.SUMIFS($J$7:$J$134,$L$7:$L$134,N7,$K$7:$K$134,O$6)</f>
        <v>0</v>
      </c>
      <c r="P7" s="182">
        <f>_xlfn.SUMIFS($J$7:$J$134,$L$7:$L$134,N7,$K$7:$K$134,P$6)</f>
        <v>1</v>
      </c>
      <c r="Q7" s="183">
        <f>_xlfn.SUMIFS($J$7:$J$134,$L$7:$L$134,N7,$K$7:$K$134,Q$6)</f>
        <v>0</v>
      </c>
      <c r="R7" s="183">
        <f>_xlfn.SUMIFS($J$7:$J$134,$L$7:$L$134,N7,$K$7:$K$134,R$6)</f>
        <v>0</v>
      </c>
      <c r="S7" s="184"/>
      <c r="T7" s="185" t="str">
        <f>N7</f>
        <v>Воронежская</v>
      </c>
      <c r="U7" s="179" t="str">
        <f>IF(O7=0," ",O7)</f>
        <v> </v>
      </c>
      <c r="V7" s="179">
        <f>IF(P7=0," ",P7)</f>
        <v>1</v>
      </c>
      <c r="W7" s="179" t="str">
        <f>IF(Q7=0," ",Q7)</f>
        <v> </v>
      </c>
      <c r="X7" s="179" t="str">
        <f>IF(R7=0," ",R7)</f>
        <v> </v>
      </c>
      <c r="Y7" s="165"/>
    </row>
    <row r="8" spans="1:25" ht="15" customHeight="1">
      <c r="A8" s="311"/>
      <c r="B8" s="312"/>
      <c r="C8" s="313"/>
      <c r="D8" s="285"/>
      <c r="E8" s="307"/>
      <c r="F8" s="304"/>
      <c r="G8" s="330"/>
      <c r="H8" s="305"/>
      <c r="J8" s="261"/>
      <c r="K8" s="262"/>
      <c r="L8" s="264"/>
      <c r="M8" s="181">
        <v>2</v>
      </c>
      <c r="N8" s="175" t="str">
        <f>L9</f>
        <v>С-Петербург</v>
      </c>
      <c r="O8" s="182">
        <f>_xlfn.SUMIFS($J$7:$J$134,$L$7:$L$134,N8,$K$7:$K$134,O$6)</f>
        <v>0</v>
      </c>
      <c r="P8" s="182">
        <f>_xlfn.SUMIFS($J$7:$J$134,$L$7:$L$134,N8,$K$7:$K$134,P$6)</f>
        <v>2</v>
      </c>
      <c r="Q8" s="183">
        <f>_xlfn.SUMIFS($J$7:$J$134,$L$7:$L$134,N8,$K$7:$K$134,Q$6)</f>
        <v>0</v>
      </c>
      <c r="R8" s="183">
        <f>_xlfn.SUMIFS($J$7:$J$134,$L$7:$L$134,N8,$K$7:$K$134,R$6)</f>
        <v>1</v>
      </c>
      <c r="S8" s="186"/>
      <c r="T8" s="179" t="str">
        <f aca="true" t="shared" si="0" ref="T8:T22">N8</f>
        <v>С-Петербург</v>
      </c>
      <c r="U8" s="179" t="str">
        <f aca="true" t="shared" si="1" ref="U8:X22">IF(O8=0," ",O8)</f>
        <v> </v>
      </c>
      <c r="V8" s="179">
        <f t="shared" si="1"/>
        <v>2</v>
      </c>
      <c r="W8" s="179" t="str">
        <f t="shared" si="1"/>
        <v> </v>
      </c>
      <c r="X8" s="179">
        <f t="shared" si="1"/>
        <v>1</v>
      </c>
      <c r="Y8" s="165"/>
    </row>
    <row r="9" spans="1:25" ht="12.75" customHeight="1">
      <c r="A9" s="314">
        <v>2</v>
      </c>
      <c r="B9" s="316">
        <v>2</v>
      </c>
      <c r="C9" s="313" t="s">
        <v>183</v>
      </c>
      <c r="D9" s="317" t="s">
        <v>184</v>
      </c>
      <c r="E9" s="306" t="s">
        <v>177</v>
      </c>
      <c r="F9" s="319" t="s">
        <v>185</v>
      </c>
      <c r="G9" s="320"/>
      <c r="H9" s="313" t="s">
        <v>186</v>
      </c>
      <c r="J9" s="261">
        <v>1</v>
      </c>
      <c r="K9" s="262" t="str">
        <f>_xlfn.IFERROR(RIGHT(D9,LEN(D9)-FIND("*",SUBSTITUTE(D9," ","*",LEN(D9)-LEN(SUBSTITUTE(D9," ",""))))),D9)</f>
        <v>МС</v>
      </c>
      <c r="L9" s="263" t="str">
        <f>_xlfn.IFERROR(LEFT(F9,FIND(",",F9)-1),F9)</f>
        <v>С-Петербург</v>
      </c>
      <c r="M9" s="181">
        <v>3</v>
      </c>
      <c r="N9" s="175" t="str">
        <f>L11</f>
        <v>Ярославская</v>
      </c>
      <c r="O9" s="182">
        <f>_xlfn.SUMIFS($J$7:$J$134,$L$7:$L$134,N9,$K$7:$K$134,O$6)</f>
        <v>0</v>
      </c>
      <c r="P9" s="182">
        <f>_xlfn.SUMIFS($J$7:$J$134,$L$7:$L$134,N9,$K$7:$K$134,P$6)</f>
        <v>2</v>
      </c>
      <c r="Q9" s="183">
        <f>_xlfn.SUMIFS($J$7:$J$134,$L$7:$L$134,N9,$K$7:$K$134,Q$6)</f>
        <v>0</v>
      </c>
      <c r="R9" s="183">
        <f>_xlfn.SUMIFS($J$7:$J$134,$L$7:$L$134,N9,$K$7:$K$134,R$6)</f>
        <v>0</v>
      </c>
      <c r="S9" s="186"/>
      <c r="T9" s="179" t="str">
        <f t="shared" si="0"/>
        <v>Ярославская</v>
      </c>
      <c r="U9" s="179" t="str">
        <f t="shared" si="1"/>
        <v> </v>
      </c>
      <c r="V9" s="179">
        <f t="shared" si="1"/>
        <v>2</v>
      </c>
      <c r="W9" s="179" t="str">
        <f t="shared" si="1"/>
        <v> </v>
      </c>
      <c r="X9" s="179" t="str">
        <f t="shared" si="1"/>
        <v> </v>
      </c>
      <c r="Y9" s="165"/>
    </row>
    <row r="10" spans="1:25" ht="15" customHeight="1">
      <c r="A10" s="315"/>
      <c r="B10" s="316"/>
      <c r="C10" s="313"/>
      <c r="D10" s="341"/>
      <c r="E10" s="307"/>
      <c r="F10" s="319"/>
      <c r="G10" s="320"/>
      <c r="H10" s="313"/>
      <c r="J10" s="261"/>
      <c r="K10" s="262"/>
      <c r="L10" s="264"/>
      <c r="M10" s="181">
        <v>4</v>
      </c>
      <c r="N10" s="175" t="str">
        <f>L13</f>
        <v>Севастополь</v>
      </c>
      <c r="O10" s="182">
        <f>_xlfn.SUMIFS($J$7:$J$134,$L$7:$L$134,N10,$K$7:$K$134,O$6)</f>
        <v>0</v>
      </c>
      <c r="P10" s="182">
        <f>_xlfn.SUMIFS($J$7:$J$134,$L$7:$L$134,N10,$K$7:$K$134,P$6)</f>
        <v>1</v>
      </c>
      <c r="Q10" s="183">
        <f>_xlfn.SUMIFS($J$7:$J$134,$L$7:$L$134,N10,$K$7:$K$134,Q$6)</f>
        <v>0</v>
      </c>
      <c r="R10" s="183">
        <f>_xlfn.SUMIFS($J$7:$J$134,$L$7:$L$134,N10,$K$7:$K$134,R$6)</f>
        <v>0</v>
      </c>
      <c r="S10" s="178"/>
      <c r="T10" s="179" t="str">
        <f t="shared" si="0"/>
        <v>Севастополь</v>
      </c>
      <c r="U10" s="179" t="str">
        <f t="shared" si="1"/>
        <v> </v>
      </c>
      <c r="V10" s="179">
        <f t="shared" si="1"/>
        <v>1</v>
      </c>
      <c r="W10" s="179" t="str">
        <f t="shared" si="1"/>
        <v> </v>
      </c>
      <c r="X10" s="179" t="str">
        <f t="shared" si="1"/>
        <v> </v>
      </c>
      <c r="Y10" s="165"/>
    </row>
    <row r="11" spans="1:25" ht="15" customHeight="1">
      <c r="A11" s="310">
        <v>3</v>
      </c>
      <c r="B11" s="312">
        <v>3</v>
      </c>
      <c r="C11" s="313" t="s">
        <v>278</v>
      </c>
      <c r="D11" s="317" t="s">
        <v>279</v>
      </c>
      <c r="E11" s="321" t="s">
        <v>225</v>
      </c>
      <c r="F11" s="331" t="s">
        <v>245</v>
      </c>
      <c r="G11" s="332"/>
      <c r="H11" s="313" t="s">
        <v>280</v>
      </c>
      <c r="J11" s="261">
        <v>1</v>
      </c>
      <c r="K11" s="262" t="str">
        <f>_xlfn.IFERROR(RIGHT(D11,LEN(D11)-FIND("*",SUBSTITUTE(D11," ","*",LEN(D11)-LEN(SUBSTITUTE(D11," ",""))))),D11)</f>
        <v>МС</v>
      </c>
      <c r="L11" s="263" t="str">
        <f>_xlfn.IFERROR(LEFT(F11,FIND(",",F11)-1),F11)</f>
        <v>Ярославская</v>
      </c>
      <c r="M11" s="181">
        <v>5</v>
      </c>
      <c r="N11" s="175" t="str">
        <f>L15</f>
        <v>Москва</v>
      </c>
      <c r="O11" s="182">
        <f>_xlfn.SUMIFS($J$7:$J$134,$L$7:$L$134,N11,$K$7:$K$134,O$6)</f>
        <v>0</v>
      </c>
      <c r="P11" s="182">
        <f>_xlfn.SUMIFS($J$7:$J$134,$L$7:$L$134,N11,$K$7:$K$134,P$6)</f>
        <v>3</v>
      </c>
      <c r="Q11" s="183">
        <f>_xlfn.SUMIFS($J$7:$J$134,$L$7:$L$134,N11,$K$7:$K$134,Q$6)</f>
        <v>3</v>
      </c>
      <c r="R11" s="183">
        <f>_xlfn.SUMIFS($J$7:$J$134,$L$7:$L$134,N11,$K$7:$K$134,R$6)</f>
        <v>1</v>
      </c>
      <c r="S11" s="186"/>
      <c r="T11" s="179" t="str">
        <f t="shared" si="0"/>
        <v>Москва</v>
      </c>
      <c r="U11" s="179" t="str">
        <f t="shared" si="1"/>
        <v> </v>
      </c>
      <c r="V11" s="179">
        <f t="shared" si="1"/>
        <v>3</v>
      </c>
      <c r="W11" s="179">
        <f t="shared" si="1"/>
        <v>3</v>
      </c>
      <c r="X11" s="179">
        <f t="shared" si="1"/>
        <v>1</v>
      </c>
      <c r="Y11" s="165"/>
    </row>
    <row r="12" spans="1:25" ht="15.75" customHeight="1">
      <c r="A12" s="311"/>
      <c r="B12" s="312"/>
      <c r="C12" s="313"/>
      <c r="D12" s="285"/>
      <c r="E12" s="322"/>
      <c r="F12" s="331"/>
      <c r="G12" s="332"/>
      <c r="H12" s="313"/>
      <c r="J12" s="261"/>
      <c r="K12" s="262"/>
      <c r="L12" s="264"/>
      <c r="M12" s="181">
        <v>6</v>
      </c>
      <c r="N12" s="175" t="str">
        <f>L17</f>
        <v>Р.САХА Якутия</v>
      </c>
      <c r="O12" s="182">
        <f>_xlfn.SUMIFS($J$7:$J$134,$L$7:$L$134,N12,$K$7:$K$134,O$6)</f>
        <v>0</v>
      </c>
      <c r="P12" s="182">
        <f>_xlfn.SUMIFS($J$7:$J$134,$L$7:$L$134,N12,$K$7:$K$134,P$6)</f>
        <v>1</v>
      </c>
      <c r="Q12" s="183">
        <f>_xlfn.SUMIFS($J$7:$J$134,$L$7:$L$134,N12,$K$7:$K$134,Q$6)</f>
        <v>0</v>
      </c>
      <c r="R12" s="183">
        <f>_xlfn.SUMIFS($J$7:$J$134,$L$7:$L$134,N12,$K$7:$K$134,R$6)</f>
        <v>0</v>
      </c>
      <c r="S12" s="178"/>
      <c r="T12" s="179" t="str">
        <f t="shared" si="0"/>
        <v>Р.САХА Якутия</v>
      </c>
      <c r="U12" s="179" t="str">
        <f t="shared" si="1"/>
        <v> </v>
      </c>
      <c r="V12" s="179">
        <f t="shared" si="1"/>
        <v>1</v>
      </c>
      <c r="W12" s="179" t="str">
        <f t="shared" si="1"/>
        <v> </v>
      </c>
      <c r="X12" s="179" t="str">
        <f t="shared" si="1"/>
        <v> </v>
      </c>
      <c r="Y12" s="165"/>
    </row>
    <row r="13" spans="1:25" ht="12.75" customHeight="1">
      <c r="A13" s="314">
        <v>4</v>
      </c>
      <c r="B13" s="289">
        <v>4</v>
      </c>
      <c r="C13" s="313" t="s">
        <v>150</v>
      </c>
      <c r="D13" s="285" t="s">
        <v>151</v>
      </c>
      <c r="E13" s="306" t="s">
        <v>152</v>
      </c>
      <c r="F13" s="319" t="s">
        <v>153</v>
      </c>
      <c r="G13" s="320"/>
      <c r="H13" s="313" t="s">
        <v>154</v>
      </c>
      <c r="J13" s="261">
        <v>1</v>
      </c>
      <c r="K13" s="262" t="str">
        <f>_xlfn.IFERROR(RIGHT(D13,LEN(D13)-FIND("*",SUBSTITUTE(D13," ","*",LEN(D13)-LEN(SUBSTITUTE(D13," ",""))))),D13)</f>
        <v>мс</v>
      </c>
      <c r="L13" s="263" t="str">
        <f>_xlfn.IFERROR(LEFT(F13,FIND(",",F13)-1),F13)</f>
        <v>Севастополь</v>
      </c>
      <c r="M13" s="181">
        <v>7</v>
      </c>
      <c r="N13" s="175" t="str">
        <f>L19</f>
        <v>ХМАО-Югра</v>
      </c>
      <c r="O13" s="182">
        <f>_xlfn.SUMIFS($J$7:$J$134,$L$7:$L$134,N13,$K$7:$K$134,O$6)</f>
        <v>1</v>
      </c>
      <c r="P13" s="182">
        <f>_xlfn.SUMIFS($J$7:$J$134,$L$7:$L$134,N13,$K$7:$K$134,P$6)</f>
        <v>0</v>
      </c>
      <c r="Q13" s="183">
        <f>_xlfn.SUMIFS($J$7:$J$134,$L$7:$L$134,N13,$K$7:$K$134,Q$6)</f>
        <v>0</v>
      </c>
      <c r="R13" s="183">
        <f>_xlfn.SUMIFS($J$7:$J$134,$L$7:$L$134,N13,$K$7:$K$134,R$6)</f>
        <v>0</v>
      </c>
      <c r="S13" s="186"/>
      <c r="T13" s="179" t="str">
        <f t="shared" si="0"/>
        <v>ХМАО-Югра</v>
      </c>
      <c r="U13" s="179">
        <f t="shared" si="1"/>
        <v>1</v>
      </c>
      <c r="V13" s="179" t="str">
        <f t="shared" si="1"/>
        <v> </v>
      </c>
      <c r="W13" s="179" t="str">
        <f t="shared" si="1"/>
        <v> </v>
      </c>
      <c r="X13" s="179" t="str">
        <f t="shared" si="1"/>
        <v> </v>
      </c>
      <c r="Y13" s="165"/>
    </row>
    <row r="14" spans="1:25" ht="15" customHeight="1">
      <c r="A14" s="315"/>
      <c r="B14" s="289"/>
      <c r="C14" s="313"/>
      <c r="D14" s="285"/>
      <c r="E14" s="307"/>
      <c r="F14" s="319"/>
      <c r="G14" s="320"/>
      <c r="H14" s="313"/>
      <c r="J14" s="261"/>
      <c r="K14" s="262"/>
      <c r="L14" s="264"/>
      <c r="M14" s="181">
        <v>8</v>
      </c>
      <c r="N14" s="175" t="str">
        <f>L21</f>
        <v>Краснодарский</v>
      </c>
      <c r="O14" s="182">
        <f>_xlfn.SUMIFS($J$7:$J$134,$L$7:$L$134,N14,$K$7:$K$134,O$6)</f>
        <v>2</v>
      </c>
      <c r="P14" s="182">
        <f>_xlfn.SUMIFS($J$7:$J$134,$L$7:$L$134,N14,$K$7:$K$134,P$6)</f>
        <v>2</v>
      </c>
      <c r="Q14" s="183">
        <f>_xlfn.SUMIFS($J$7:$J$134,$L$7:$L$134,N14,$K$7:$K$134,Q$6)</f>
        <v>0</v>
      </c>
      <c r="R14" s="183">
        <f>_xlfn.SUMIFS($J$7:$J$134,$L$7:$L$134,N14,$K$7:$K$134,R$6)</f>
        <v>0</v>
      </c>
      <c r="S14" s="186"/>
      <c r="T14" s="179" t="str">
        <f t="shared" si="0"/>
        <v>Краснодарский</v>
      </c>
      <c r="U14" s="179">
        <f t="shared" si="1"/>
        <v>2</v>
      </c>
      <c r="V14" s="179">
        <f t="shared" si="1"/>
        <v>2</v>
      </c>
      <c r="W14" s="179" t="str">
        <f t="shared" si="1"/>
        <v> </v>
      </c>
      <c r="X14" s="179" t="str">
        <f t="shared" si="1"/>
        <v> </v>
      </c>
      <c r="Y14" s="165"/>
    </row>
    <row r="15" spans="1:25" ht="12.75" customHeight="1">
      <c r="A15" s="310">
        <v>5</v>
      </c>
      <c r="B15" s="289">
        <v>5</v>
      </c>
      <c r="C15" s="313" t="s">
        <v>131</v>
      </c>
      <c r="D15" s="317" t="s">
        <v>273</v>
      </c>
      <c r="E15" s="321" t="s">
        <v>112</v>
      </c>
      <c r="F15" s="324" t="s">
        <v>118</v>
      </c>
      <c r="G15" s="320"/>
      <c r="H15" s="313" t="s">
        <v>119</v>
      </c>
      <c r="J15" s="261">
        <v>1</v>
      </c>
      <c r="K15" s="262" t="str">
        <f>_xlfn.IFERROR(RIGHT(D15,LEN(D15)-FIND("*",SUBSTITUTE(D15," ","*",LEN(D15)-LEN(SUBSTITUTE(D15," ",""))))),D15)</f>
        <v>МС</v>
      </c>
      <c r="L15" s="263" t="str">
        <f>_xlfn.IFERROR(LEFT(F15,FIND(",",F15)-1),F15)</f>
        <v>Москва</v>
      </c>
      <c r="M15" s="181">
        <v>9</v>
      </c>
      <c r="N15" s="175" t="str">
        <f>L23</f>
        <v>Свердловская</v>
      </c>
      <c r="O15" s="182">
        <f>_xlfn.SUMIFS($J$7:$J$134,$L$7:$L$134,N15,$K$7:$K$134,O$6)</f>
        <v>0</v>
      </c>
      <c r="P15" s="182">
        <f>_xlfn.SUMIFS($J$7:$J$134,$L$7:$L$134,N15,$K$7:$K$134,P$6)</f>
        <v>3</v>
      </c>
      <c r="Q15" s="183">
        <f>_xlfn.SUMIFS($J$7:$J$134,$L$7:$L$134,N15,$K$7:$K$134,Q$6)</f>
        <v>0</v>
      </c>
      <c r="R15" s="183">
        <f>_xlfn.SUMIFS($J$7:$J$134,$L$7:$L$134,N15,$K$7:$K$134,R$6)</f>
        <v>0</v>
      </c>
      <c r="S15" s="187"/>
      <c r="T15" s="188" t="str">
        <f t="shared" si="0"/>
        <v>Свердловская</v>
      </c>
      <c r="U15" s="179" t="str">
        <f t="shared" si="1"/>
        <v> </v>
      </c>
      <c r="V15" s="179">
        <f t="shared" si="1"/>
        <v>3</v>
      </c>
      <c r="W15" s="179" t="str">
        <f t="shared" si="1"/>
        <v> </v>
      </c>
      <c r="X15" s="189" t="str">
        <f t="shared" si="1"/>
        <v> </v>
      </c>
      <c r="Y15" s="190"/>
    </row>
    <row r="16" spans="1:25" ht="15" customHeight="1">
      <c r="A16" s="311"/>
      <c r="B16" s="289"/>
      <c r="C16" s="313"/>
      <c r="D16" s="285"/>
      <c r="E16" s="322"/>
      <c r="F16" s="324"/>
      <c r="G16" s="320"/>
      <c r="H16" s="313"/>
      <c r="J16" s="261"/>
      <c r="K16" s="262"/>
      <c r="L16" s="264"/>
      <c r="M16" s="181">
        <v>10</v>
      </c>
      <c r="N16" s="175" t="str">
        <f>L25</f>
        <v>Краснодарский</v>
      </c>
      <c r="O16" s="182">
        <f>_xlfn.SUMIFS($J$7:$J$134,$L$7:$L$134,N16,$K$7:$K$134,O$6)</f>
        <v>2</v>
      </c>
      <c r="P16" s="182">
        <f>_xlfn.SUMIFS($J$7:$J$134,$L$7:$L$134,N16,$K$7:$K$134,P$6)</f>
        <v>2</v>
      </c>
      <c r="Q16" s="183">
        <f>_xlfn.SUMIFS($J$7:$J$134,$L$7:$L$134,N16,$K$7:$K$134,Q$6)</f>
        <v>0</v>
      </c>
      <c r="R16" s="183">
        <f>_xlfn.SUMIFS($J$7:$J$134,$L$7:$L$134,N16,$K$7:$K$134,R$6)</f>
        <v>0</v>
      </c>
      <c r="S16" s="165"/>
      <c r="T16" s="179" t="str">
        <f t="shared" si="0"/>
        <v>Краснодарский</v>
      </c>
      <c r="U16" s="179">
        <f t="shared" si="1"/>
        <v>2</v>
      </c>
      <c r="V16" s="179">
        <f t="shared" si="1"/>
        <v>2</v>
      </c>
      <c r="W16" s="179" t="str">
        <f t="shared" si="1"/>
        <v> </v>
      </c>
      <c r="X16" s="179" t="str">
        <f t="shared" si="1"/>
        <v> </v>
      </c>
      <c r="Y16" s="165"/>
    </row>
    <row r="17" spans="1:25" ht="12.75" customHeight="1">
      <c r="A17" s="314">
        <v>6</v>
      </c>
      <c r="B17" s="289">
        <v>6</v>
      </c>
      <c r="C17" s="313" t="s">
        <v>91</v>
      </c>
      <c r="D17" s="285" t="s">
        <v>92</v>
      </c>
      <c r="E17" s="343" t="s">
        <v>93</v>
      </c>
      <c r="F17" s="324" t="s">
        <v>94</v>
      </c>
      <c r="G17" s="320"/>
      <c r="H17" s="313" t="s">
        <v>95</v>
      </c>
      <c r="J17" s="261">
        <v>1</v>
      </c>
      <c r="K17" s="262" t="str">
        <f>_xlfn.IFERROR(RIGHT(D17,LEN(D17)-FIND("*",SUBSTITUTE(D17," ","*",LEN(D17)-LEN(SUBSTITUTE(D17," ",""))))),D17)</f>
        <v>МС</v>
      </c>
      <c r="L17" s="263" t="str">
        <f>_xlfn.IFERROR(LEFT(F17,FIND(",",F17)-1),F17)</f>
        <v>Р.САХА Якутия</v>
      </c>
      <c r="M17" s="181">
        <v>11</v>
      </c>
      <c r="N17" s="175" t="str">
        <f>L27</f>
        <v>Курганская Курган</v>
      </c>
      <c r="O17" s="182">
        <f>_xlfn.SUMIFS($J$7:$J$134,$L$7:$L$134,N17,$K$7:$K$134,O$6)</f>
        <v>0</v>
      </c>
      <c r="P17" s="182">
        <f>_xlfn.SUMIFS($J$7:$J$134,$L$7:$L$134,N17,$K$7:$K$134,P$6)</f>
        <v>0</v>
      </c>
      <c r="Q17" s="183">
        <f>_xlfn.SUMIFS($J$7:$J$134,$L$7:$L$134,N17,$K$7:$K$134,Q$6)</f>
        <v>1</v>
      </c>
      <c r="R17" s="183">
        <f>_xlfn.SUMIFS($J$7:$J$134,$L$7:$L$134,N17,$K$7:$K$134,R$6)</f>
        <v>0</v>
      </c>
      <c r="S17" s="165"/>
      <c r="T17" s="179" t="str">
        <f t="shared" si="0"/>
        <v>Курганская Курган</v>
      </c>
      <c r="U17" s="179" t="str">
        <f t="shared" si="1"/>
        <v> </v>
      </c>
      <c r="V17" s="179" t="str">
        <f t="shared" si="1"/>
        <v> </v>
      </c>
      <c r="W17" s="179">
        <f t="shared" si="1"/>
        <v>1</v>
      </c>
      <c r="X17" s="179" t="str">
        <f t="shared" si="1"/>
        <v> </v>
      </c>
      <c r="Y17" s="165"/>
    </row>
    <row r="18" spans="1:25" ht="15" customHeight="1">
      <c r="A18" s="315"/>
      <c r="B18" s="289"/>
      <c r="C18" s="313"/>
      <c r="D18" s="285"/>
      <c r="E18" s="344"/>
      <c r="F18" s="324"/>
      <c r="G18" s="320"/>
      <c r="H18" s="313"/>
      <c r="J18" s="261"/>
      <c r="K18" s="262"/>
      <c r="L18" s="264"/>
      <c r="M18" s="181">
        <v>12</v>
      </c>
      <c r="N18" s="175" t="str">
        <f>L29</f>
        <v>Курганская</v>
      </c>
      <c r="O18" s="182">
        <f>_xlfn.SUMIFS($J$7:$J$134,$L$7:$L$134,N18,$K$7:$K$134,O$6)</f>
        <v>1</v>
      </c>
      <c r="P18" s="182">
        <f>_xlfn.SUMIFS($J$7:$J$134,$L$7:$L$134,N18,$K$7:$K$134,P$6)</f>
        <v>0</v>
      </c>
      <c r="Q18" s="183">
        <f>_xlfn.SUMIFS($J$7:$J$134,$L$7:$L$134,N18,$K$7:$K$134,Q$6)</f>
        <v>0</v>
      </c>
      <c r="R18" s="183">
        <f>_xlfn.SUMIFS($J$7:$J$134,$L$7:$L$134,N18,$K$7:$K$134,R$6)</f>
        <v>0</v>
      </c>
      <c r="S18" s="165"/>
      <c r="T18" s="179" t="str">
        <f t="shared" si="0"/>
        <v>Курганская</v>
      </c>
      <c r="U18" s="179">
        <f t="shared" si="1"/>
        <v>1</v>
      </c>
      <c r="V18" s="179" t="str">
        <f t="shared" si="1"/>
        <v> </v>
      </c>
      <c r="W18" s="179" t="str">
        <f t="shared" si="1"/>
        <v> </v>
      </c>
      <c r="X18" s="179" t="str">
        <f t="shared" si="1"/>
        <v> </v>
      </c>
      <c r="Y18" s="165"/>
    </row>
    <row r="19" spans="1:25" ht="12.75" customHeight="1">
      <c r="A19" s="310">
        <v>7</v>
      </c>
      <c r="B19" s="312">
        <v>7</v>
      </c>
      <c r="C19" s="318" t="s">
        <v>202</v>
      </c>
      <c r="D19" s="302" t="s">
        <v>203</v>
      </c>
      <c r="E19" s="345" t="s">
        <v>204</v>
      </c>
      <c r="F19" s="324" t="s">
        <v>205</v>
      </c>
      <c r="G19" s="336"/>
      <c r="H19" s="318" t="s">
        <v>206</v>
      </c>
      <c r="J19" s="261">
        <v>1</v>
      </c>
      <c r="K19" s="262" t="str">
        <f>_xlfn.IFERROR(RIGHT(D19,LEN(D19)-FIND("*",SUBSTITUTE(D19," ","*",LEN(D19)-LEN(SUBSTITUTE(D19," ",""))))),D19)</f>
        <v>КМС</v>
      </c>
      <c r="L19" s="263" t="str">
        <f>_xlfn.IFERROR(LEFT(F19,FIND(",",F19)-1),F19)</f>
        <v>ХМАО-Югра</v>
      </c>
      <c r="M19" s="181">
        <v>13</v>
      </c>
      <c r="N19" s="175" t="str">
        <f>L31</f>
        <v>Москва</v>
      </c>
      <c r="O19" s="182">
        <f>_xlfn.SUMIFS($J$7:$J$134,$L$7:$L$134,N19,$K$7:$K$134,O$6)</f>
        <v>0</v>
      </c>
      <c r="P19" s="182">
        <f>_xlfn.SUMIFS($J$7:$J$134,$L$7:$L$134,N19,$K$7:$K$134,P$6)</f>
        <v>3</v>
      </c>
      <c r="Q19" s="183">
        <f>_xlfn.SUMIFS($J$7:$J$134,$L$7:$L$134,N19,$K$7:$K$134,Q$6)</f>
        <v>3</v>
      </c>
      <c r="R19" s="183">
        <f>_xlfn.SUMIFS($J$7:$J$134,$L$7:$L$134,N19,$K$7:$K$134,R$6)</f>
        <v>1</v>
      </c>
      <c r="S19" s="165"/>
      <c r="T19" s="179" t="str">
        <f t="shared" si="0"/>
        <v>Москва</v>
      </c>
      <c r="U19" s="179" t="str">
        <f t="shared" si="1"/>
        <v> </v>
      </c>
      <c r="V19" s="179">
        <f t="shared" si="1"/>
        <v>3</v>
      </c>
      <c r="W19" s="179">
        <f t="shared" si="1"/>
        <v>3</v>
      </c>
      <c r="X19" s="179">
        <f t="shared" si="1"/>
        <v>1</v>
      </c>
      <c r="Y19" s="165"/>
    </row>
    <row r="20" spans="1:25" ht="15" customHeight="1">
      <c r="A20" s="311"/>
      <c r="B20" s="312"/>
      <c r="C20" s="318"/>
      <c r="D20" s="302"/>
      <c r="E20" s="346"/>
      <c r="F20" s="324"/>
      <c r="G20" s="336"/>
      <c r="H20" s="318"/>
      <c r="J20" s="261"/>
      <c r="K20" s="262"/>
      <c r="L20" s="264"/>
      <c r="M20" s="181">
        <v>14</v>
      </c>
      <c r="N20" s="175" t="str">
        <f>L33</f>
        <v>Московская</v>
      </c>
      <c r="O20" s="182">
        <f>_xlfn.SUMIFS($J$7:$J$134,$L$7:$L$134,N20,$K$7:$K$134,O$6)</f>
        <v>1</v>
      </c>
      <c r="P20" s="182">
        <f>_xlfn.SUMIFS($J$7:$J$134,$L$7:$L$134,N20,$K$7:$K$134,P$6)</f>
        <v>2</v>
      </c>
      <c r="Q20" s="183">
        <f>_xlfn.SUMIFS($J$7:$J$134,$L$7:$L$134,N20,$K$7:$K$134,Q$6)</f>
        <v>0</v>
      </c>
      <c r="R20" s="183">
        <f>_xlfn.SUMIFS($J$7:$J$134,$L$7:$L$134,N20,$K$7:$K$134,R$6)</f>
        <v>0</v>
      </c>
      <c r="S20" s="165"/>
      <c r="T20" s="179" t="str">
        <f t="shared" si="0"/>
        <v>Московская</v>
      </c>
      <c r="U20" s="179">
        <f t="shared" si="1"/>
        <v>1</v>
      </c>
      <c r="V20" s="179">
        <f t="shared" si="1"/>
        <v>2</v>
      </c>
      <c r="W20" s="179" t="str">
        <f t="shared" si="1"/>
        <v> </v>
      </c>
      <c r="X20" s="179" t="str">
        <f t="shared" si="1"/>
        <v> </v>
      </c>
      <c r="Y20" s="165"/>
    </row>
    <row r="21" spans="1:25" ht="12.75" customHeight="1">
      <c r="A21" s="314">
        <v>8</v>
      </c>
      <c r="B21" s="312">
        <v>8</v>
      </c>
      <c r="C21" s="313" t="s">
        <v>285</v>
      </c>
      <c r="D21" s="317" t="s">
        <v>286</v>
      </c>
      <c r="E21" s="345" t="s">
        <v>256</v>
      </c>
      <c r="F21" s="319" t="s">
        <v>287</v>
      </c>
      <c r="G21" s="325"/>
      <c r="H21" s="329" t="s">
        <v>288</v>
      </c>
      <c r="J21" s="261">
        <v>1</v>
      </c>
      <c r="K21" s="262" t="str">
        <f>_xlfn.IFERROR(RIGHT(D21,LEN(D21)-FIND("*",SUBSTITUTE(D21," ","*",LEN(D21)-LEN(SUBSTITUTE(D21," ",""))))),D21)</f>
        <v>МС</v>
      </c>
      <c r="L21" s="263" t="str">
        <f>_xlfn.IFERROR(LEFT(F21,FIND(",",F21)-1),F21)</f>
        <v>Краснодарский</v>
      </c>
      <c r="M21" s="181">
        <v>15</v>
      </c>
      <c r="N21" s="175" t="str">
        <f>L35</f>
        <v>Смоленская</v>
      </c>
      <c r="O21" s="182">
        <f>_xlfn.SUMIFS($J$7:$J$134,$L$7:$L$134,N21,$K$7:$K$134,O$6)</f>
        <v>0</v>
      </c>
      <c r="P21" s="182">
        <f>_xlfn.SUMIFS($J$7:$J$134,$L$7:$L$134,N21,$K$7:$K$134,P$6)</f>
        <v>0</v>
      </c>
      <c r="Q21" s="183">
        <f>_xlfn.SUMIFS($J$7:$J$134,$L$7:$L$134,N21,$K$7:$K$134,Q$6)</f>
        <v>0</v>
      </c>
      <c r="R21" s="183">
        <f>_xlfn.SUMIFS($J$7:$J$134,$L$7:$L$134,N21,$K$7:$K$134,R$6)</f>
        <v>0</v>
      </c>
      <c r="S21" s="165"/>
      <c r="T21" s="179" t="str">
        <f t="shared" si="0"/>
        <v>Смоленская</v>
      </c>
      <c r="U21" s="179" t="str">
        <f t="shared" si="1"/>
        <v> </v>
      </c>
      <c r="V21" s="179" t="str">
        <f t="shared" si="1"/>
        <v> </v>
      </c>
      <c r="W21" s="179" t="str">
        <f t="shared" si="1"/>
        <v> </v>
      </c>
      <c r="X21" s="179" t="str">
        <f t="shared" si="1"/>
        <v> </v>
      </c>
      <c r="Y21" s="165"/>
    </row>
    <row r="22" spans="1:25" ht="15" customHeight="1">
      <c r="A22" s="315"/>
      <c r="B22" s="312"/>
      <c r="C22" s="313"/>
      <c r="D22" s="285"/>
      <c r="E22" s="346"/>
      <c r="F22" s="319"/>
      <c r="G22" s="325"/>
      <c r="H22" s="329"/>
      <c r="J22" s="261"/>
      <c r="K22" s="262"/>
      <c r="L22" s="264"/>
      <c r="M22" s="181">
        <v>16</v>
      </c>
      <c r="N22" s="175" t="str">
        <f>L37</f>
        <v>Чеченская</v>
      </c>
      <c r="O22" s="182">
        <f>_xlfn.SUMIFS($J$7:$J$134,$L$7:$L$134,N22,$K$7:$K$134,O$6)</f>
        <v>0</v>
      </c>
      <c r="P22" s="182">
        <f>_xlfn.SUMIFS($J$7:$J$134,$L$7:$L$134,N22,$K$7:$K$134,P$6)</f>
        <v>1</v>
      </c>
      <c r="Q22" s="183">
        <f>_xlfn.SUMIFS($J$7:$J$134,$L$7:$L$134,N22,$K$7:$K$134,Q$6)</f>
        <v>0</v>
      </c>
      <c r="R22" s="183">
        <f>_xlfn.SUMIFS($J$7:$J$134,$L$7:$L$134,N22,$K$7:$K$134,R$6)</f>
        <v>0</v>
      </c>
      <c r="S22" s="165"/>
      <c r="T22" s="179" t="str">
        <f t="shared" si="0"/>
        <v>Чеченская</v>
      </c>
      <c r="U22" s="179" t="str">
        <f t="shared" si="1"/>
        <v> </v>
      </c>
      <c r="V22" s="179">
        <f t="shared" si="1"/>
        <v>1</v>
      </c>
      <c r="W22" s="179" t="str">
        <f t="shared" si="1"/>
        <v> </v>
      </c>
      <c r="X22" s="179" t="str">
        <f t="shared" si="1"/>
        <v> </v>
      </c>
      <c r="Y22" s="165"/>
    </row>
    <row r="23" spans="1:25" ht="12.75" customHeight="1">
      <c r="A23" s="310">
        <v>9</v>
      </c>
      <c r="B23" s="314">
        <v>9</v>
      </c>
      <c r="C23" s="313" t="s">
        <v>219</v>
      </c>
      <c r="D23" s="285" t="s">
        <v>220</v>
      </c>
      <c r="E23" s="334" t="s">
        <v>204</v>
      </c>
      <c r="F23" s="339" t="s">
        <v>217</v>
      </c>
      <c r="G23" s="302"/>
      <c r="H23" s="318" t="s">
        <v>218</v>
      </c>
      <c r="J23" s="261">
        <v>1</v>
      </c>
      <c r="K23" s="262" t="str">
        <f>_xlfn.IFERROR(RIGHT(D23,LEN(D23)-FIND("*",SUBSTITUTE(D23," ","*",LEN(D23)-LEN(SUBSTITUTE(D23," ",""))))),D23)</f>
        <v>МС</v>
      </c>
      <c r="L23" s="263" t="str">
        <f>_xlfn.IFERROR(LEFT(F23,FIND(",",F23)-1),F23)</f>
        <v>Свердловская</v>
      </c>
      <c r="M23" s="181">
        <v>17</v>
      </c>
      <c r="N23" s="175" t="str">
        <f>L39</f>
        <v>Новосибирская</v>
      </c>
      <c r="O23" s="182">
        <f>_xlfn.SUMIFS($J$7:$J$134,$L$7:$L$134,N23,$K$7:$K$134,O$6)</f>
        <v>1</v>
      </c>
      <c r="P23" s="182">
        <f>_xlfn.SUMIFS($J$7:$J$134,$L$7:$L$134,N23,$K$7:$K$134,P$6)</f>
        <v>0</v>
      </c>
      <c r="Q23" s="183">
        <f>_xlfn.SUMIFS($J$7:$J$134,$L$7:$L$134,N23,$K$7:$K$134,Q$6)</f>
        <v>0</v>
      </c>
      <c r="R23" s="183">
        <f>_xlfn.SUMIFS($J$7:$J$134,$L$7:$L$134,N23,$K$7:$K$134,R$6)</f>
        <v>0</v>
      </c>
      <c r="S23" s="12"/>
      <c r="T23" s="185" t="str">
        <f>N23</f>
        <v>Новосибирская</v>
      </c>
      <c r="U23" s="179">
        <f>IF(O23=0," ",O23)</f>
        <v>1</v>
      </c>
      <c r="V23" s="179" t="str">
        <f>IF(P23=0," ",P23)</f>
        <v> </v>
      </c>
      <c r="W23" s="179" t="str">
        <f>IF(Q23=0," ",Q23)</f>
        <v> </v>
      </c>
      <c r="X23" s="179" t="str">
        <f>IF(R23=0," ",R23)</f>
        <v> </v>
      </c>
      <c r="Y23" s="12"/>
    </row>
    <row r="24" spans="1:24" ht="15" customHeight="1">
      <c r="A24" s="311"/>
      <c r="B24" s="314"/>
      <c r="C24" s="313"/>
      <c r="D24" s="285"/>
      <c r="E24" s="335"/>
      <c r="F24" s="339"/>
      <c r="G24" s="302"/>
      <c r="H24" s="318"/>
      <c r="J24" s="261"/>
      <c r="K24" s="262"/>
      <c r="L24" s="264"/>
      <c r="M24" s="181">
        <v>18</v>
      </c>
      <c r="N24" s="175" t="str">
        <f>L41</f>
        <v>Ставропольский</v>
      </c>
      <c r="O24" s="182">
        <f>_xlfn.SUMIFS($J$7:$J$134,$L$7:$L$134,N24,$K$7:$K$134,O$6)</f>
        <v>0</v>
      </c>
      <c r="P24" s="182">
        <f>_xlfn.SUMIFS($J$7:$J$134,$L$7:$L$134,N24,$K$7:$K$134,P$6)</f>
        <v>2</v>
      </c>
      <c r="Q24" s="183">
        <f>_xlfn.SUMIFS($J$7:$J$134,$L$7:$L$134,N24,$K$7:$K$134,Q$6)</f>
        <v>0</v>
      </c>
      <c r="R24" s="183">
        <f>_xlfn.SUMIFS($J$7:$J$134,$L$7:$L$134,N24,$K$7:$K$134,R$6)</f>
        <v>0</v>
      </c>
      <c r="T24" s="179" t="str">
        <f aca="true" t="shared" si="2" ref="T24:T38">N24</f>
        <v>Ставропольский</v>
      </c>
      <c r="U24" s="179" t="str">
        <f aca="true" t="shared" si="3" ref="U24:X38">IF(O24=0," ",O24)</f>
        <v> </v>
      </c>
      <c r="V24" s="179">
        <f t="shared" si="3"/>
        <v>2</v>
      </c>
      <c r="W24" s="179" t="str">
        <f t="shared" si="3"/>
        <v> </v>
      </c>
      <c r="X24" s="179" t="str">
        <f t="shared" si="3"/>
        <v> </v>
      </c>
    </row>
    <row r="25" spans="1:24" ht="12.75" customHeight="1">
      <c r="A25" s="314">
        <v>10</v>
      </c>
      <c r="B25" s="312">
        <v>10</v>
      </c>
      <c r="C25" s="313" t="s">
        <v>263</v>
      </c>
      <c r="D25" s="317" t="s">
        <v>264</v>
      </c>
      <c r="E25" s="345" t="s">
        <v>256</v>
      </c>
      <c r="F25" s="319" t="s">
        <v>265</v>
      </c>
      <c r="G25" s="320"/>
      <c r="H25" s="313" t="s">
        <v>266</v>
      </c>
      <c r="J25" s="261">
        <v>1</v>
      </c>
      <c r="K25" s="262" t="str">
        <f>_xlfn.IFERROR(RIGHT(D25,LEN(D25)-FIND("*",SUBSTITUTE(D25," ","*",LEN(D25)-LEN(SUBSTITUTE(D25," ",""))))),D25)</f>
        <v>КМС</v>
      </c>
      <c r="L25" s="263" t="str">
        <f>_xlfn.IFERROR(LEFT(F25,FIND(",",F25)-1),F25)</f>
        <v>Краснодарский</v>
      </c>
      <c r="M25" s="181">
        <v>19</v>
      </c>
      <c r="N25" s="175" t="str">
        <f>L43</f>
        <v>Краснодарский</v>
      </c>
      <c r="O25" s="182">
        <f>_xlfn.SUMIFS($J$7:$J$134,$L$7:$L$134,N25,$K$7:$K$134,O$6)</f>
        <v>2</v>
      </c>
      <c r="P25" s="182">
        <f>_xlfn.SUMIFS($J$7:$J$134,$L$7:$L$134,N25,$K$7:$K$134,P$6)</f>
        <v>2</v>
      </c>
      <c r="Q25" s="183">
        <f>_xlfn.SUMIFS($J$7:$J$134,$L$7:$L$134,N25,$K$7:$K$134,Q$6)</f>
        <v>0</v>
      </c>
      <c r="R25" s="183">
        <f>_xlfn.SUMIFS($J$7:$J$134,$L$7:$L$134,N25,$K$7:$K$134,R$6)</f>
        <v>0</v>
      </c>
      <c r="S25" s="12"/>
      <c r="T25" s="179" t="str">
        <f t="shared" si="2"/>
        <v>Краснодарский</v>
      </c>
      <c r="U25" s="179">
        <f t="shared" si="3"/>
        <v>2</v>
      </c>
      <c r="V25" s="179">
        <f t="shared" si="3"/>
        <v>2</v>
      </c>
      <c r="W25" s="179" t="str">
        <f t="shared" si="3"/>
        <v> </v>
      </c>
      <c r="X25" s="179" t="str">
        <f t="shared" si="3"/>
        <v> </v>
      </c>
    </row>
    <row r="26" spans="1:24" ht="15" customHeight="1">
      <c r="A26" s="315"/>
      <c r="B26" s="312"/>
      <c r="C26" s="313"/>
      <c r="D26" s="285"/>
      <c r="E26" s="346"/>
      <c r="F26" s="319"/>
      <c r="G26" s="320"/>
      <c r="H26" s="313"/>
      <c r="J26" s="261"/>
      <c r="K26" s="262"/>
      <c r="L26" s="264"/>
      <c r="M26" s="181">
        <v>20</v>
      </c>
      <c r="N26" s="175" t="str">
        <f>L45</f>
        <v>Хабаровский</v>
      </c>
      <c r="O26" s="182">
        <f>_xlfn.SUMIFS($J$7:$J$134,$L$7:$L$134,N26,$K$7:$K$134,O$6)</f>
        <v>0</v>
      </c>
      <c r="P26" s="182">
        <f>_xlfn.SUMIFS($J$7:$J$134,$L$7:$L$134,N26,$K$7:$K$134,P$6)</f>
        <v>1</v>
      </c>
      <c r="Q26" s="183">
        <f>_xlfn.SUMIFS($J$7:$J$134,$L$7:$L$134,N26,$K$7:$K$134,Q$6)</f>
        <v>0</v>
      </c>
      <c r="R26" s="183">
        <f>_xlfn.SUMIFS($J$7:$J$134,$L$7:$L$134,N26,$K$7:$K$134,R$6)</f>
        <v>0</v>
      </c>
      <c r="T26" s="179" t="str">
        <f t="shared" si="2"/>
        <v>Хабаровский</v>
      </c>
      <c r="U26" s="179" t="str">
        <f t="shared" si="3"/>
        <v> </v>
      </c>
      <c r="V26" s="179">
        <f t="shared" si="3"/>
        <v>1</v>
      </c>
      <c r="W26" s="179" t="str">
        <f t="shared" si="3"/>
        <v> </v>
      </c>
      <c r="X26" s="179" t="str">
        <f t="shared" si="3"/>
        <v> </v>
      </c>
    </row>
    <row r="27" spans="1:24" ht="12.75" customHeight="1">
      <c r="A27" s="310">
        <v>11</v>
      </c>
      <c r="B27" s="312">
        <v>11</v>
      </c>
      <c r="C27" s="305" t="s">
        <v>211</v>
      </c>
      <c r="D27" s="288" t="s">
        <v>212</v>
      </c>
      <c r="E27" s="306" t="s">
        <v>204</v>
      </c>
      <c r="F27" s="304" t="s">
        <v>213</v>
      </c>
      <c r="G27" s="288" t="s">
        <v>114</v>
      </c>
      <c r="H27" s="305" t="s">
        <v>214</v>
      </c>
      <c r="J27" s="261">
        <v>1</v>
      </c>
      <c r="K27" s="262" t="str">
        <f>_xlfn.IFERROR(RIGHT(D27,LEN(D27)-FIND("*",SUBSTITUTE(D27," ","*",LEN(D27)-LEN(SUBSTITUTE(D27," ",""))))),D27)</f>
        <v>мсмк</v>
      </c>
      <c r="L27" s="263" t="str">
        <f>_xlfn.IFERROR(LEFT(F27,FIND(",",F27)-1),F27)</f>
        <v>Курганская Курган</v>
      </c>
      <c r="M27" s="181">
        <v>21</v>
      </c>
      <c r="N27" s="175" t="str">
        <f>L47</f>
        <v>Краснодарский край Новоросийск</v>
      </c>
      <c r="O27" s="182">
        <f>_xlfn.SUMIFS($J$7:$J$134,$L$7:$L$134,N27,$K$7:$K$134,O$6)</f>
        <v>0</v>
      </c>
      <c r="P27" s="182">
        <f>_xlfn.SUMIFS($J$7:$J$134,$L$7:$L$134,N27,$K$7:$K$134,P$6)</f>
        <v>1</v>
      </c>
      <c r="Q27" s="183">
        <f>_xlfn.SUMIFS($J$7:$J$134,$L$7:$L$134,N27,$K$7:$K$134,Q$6)</f>
        <v>0</v>
      </c>
      <c r="R27" s="183">
        <f>_xlfn.SUMIFS($J$7:$J$134,$L$7:$L$134,N27,$K$7:$K$134,R$6)</f>
        <v>0</v>
      </c>
      <c r="S27" s="12"/>
      <c r="T27" s="179" t="str">
        <f t="shared" si="2"/>
        <v>Краснодарский край Новоросийск</v>
      </c>
      <c r="U27" s="179" t="str">
        <f t="shared" si="3"/>
        <v> </v>
      </c>
      <c r="V27" s="179">
        <f t="shared" si="3"/>
        <v>1</v>
      </c>
      <c r="W27" s="179" t="str">
        <f t="shared" si="3"/>
        <v> </v>
      </c>
      <c r="X27" s="179" t="str">
        <f t="shared" si="3"/>
        <v> </v>
      </c>
    </row>
    <row r="28" spans="1:24" ht="15" customHeight="1">
      <c r="A28" s="311"/>
      <c r="B28" s="312"/>
      <c r="C28" s="305"/>
      <c r="D28" s="288"/>
      <c r="E28" s="307"/>
      <c r="F28" s="304"/>
      <c r="G28" s="288"/>
      <c r="H28" s="305"/>
      <c r="J28" s="261"/>
      <c r="K28" s="262"/>
      <c r="L28" s="264"/>
      <c r="M28" s="181">
        <v>22</v>
      </c>
      <c r="N28" s="175" t="str">
        <f>L49</f>
        <v> Пермский</v>
      </c>
      <c r="O28" s="182">
        <f>_xlfn.SUMIFS($J$7:$J$134,$L$7:$L$134,N28,$K$7:$K$134,O$6)</f>
        <v>0</v>
      </c>
      <c r="P28" s="182">
        <f>_xlfn.SUMIFS($J$7:$J$134,$L$7:$L$134,N28,$K$7:$K$134,P$6)</f>
        <v>1</v>
      </c>
      <c r="Q28" s="183">
        <f>_xlfn.SUMIFS($J$7:$J$134,$L$7:$L$134,N28,$K$7:$K$134,Q$6)</f>
        <v>0</v>
      </c>
      <c r="R28" s="183">
        <f>_xlfn.SUMIFS($J$7:$J$134,$L$7:$L$134,N28,$K$7:$K$134,R$6)</f>
        <v>0</v>
      </c>
      <c r="T28" s="179" t="str">
        <f t="shared" si="2"/>
        <v> Пермский</v>
      </c>
      <c r="U28" s="179" t="str">
        <f t="shared" si="3"/>
        <v> </v>
      </c>
      <c r="V28" s="179">
        <f t="shared" si="3"/>
        <v>1</v>
      </c>
      <c r="W28" s="179" t="str">
        <f t="shared" si="3"/>
        <v> </v>
      </c>
      <c r="X28" s="179" t="str">
        <f t="shared" si="3"/>
        <v> </v>
      </c>
    </row>
    <row r="29" spans="1:24" ht="15.75" customHeight="1">
      <c r="A29" s="314">
        <v>12</v>
      </c>
      <c r="B29" s="314">
        <v>12</v>
      </c>
      <c r="C29" s="305" t="s">
        <v>207</v>
      </c>
      <c r="D29" s="288" t="s">
        <v>208</v>
      </c>
      <c r="E29" s="306" t="s">
        <v>204</v>
      </c>
      <c r="F29" s="304" t="s">
        <v>209</v>
      </c>
      <c r="G29" s="288" t="s">
        <v>114</v>
      </c>
      <c r="H29" s="305" t="s">
        <v>210</v>
      </c>
      <c r="J29" s="261">
        <v>1</v>
      </c>
      <c r="K29" s="262" t="str">
        <f>_xlfn.IFERROR(RIGHT(D29,LEN(D29)-FIND("*",SUBSTITUTE(D29," ","*",LEN(D29)-LEN(SUBSTITUTE(D29," ",""))))),D29)</f>
        <v>кмс</v>
      </c>
      <c r="L29" s="263" t="str">
        <f>_xlfn.IFERROR(LEFT(F29,FIND(",",F29)-1),F29)</f>
        <v>Курганская</v>
      </c>
      <c r="M29" s="181">
        <v>23</v>
      </c>
      <c r="N29" s="175" t="str">
        <f>L51</f>
        <v> Пензенская Пенза Д</v>
      </c>
      <c r="O29" s="182">
        <f>_xlfn.SUMIFS($J$7:$J$134,$L$7:$L$134,N29,$K$7:$K$134,O$6)</f>
        <v>0</v>
      </c>
      <c r="P29" s="182">
        <f>_xlfn.SUMIFS($J$7:$J$134,$L$7:$L$134,N29,$K$7:$K$134,P$6)</f>
        <v>1</v>
      </c>
      <c r="Q29" s="183">
        <f>_xlfn.SUMIFS($J$7:$J$134,$L$7:$L$134,N29,$K$7:$K$134,Q$6)</f>
        <v>0</v>
      </c>
      <c r="R29" s="183">
        <f>_xlfn.SUMIFS($J$7:$J$134,$L$7:$L$134,N29,$K$7:$K$134,R$6)</f>
        <v>0</v>
      </c>
      <c r="S29" s="12"/>
      <c r="T29" s="179" t="str">
        <f t="shared" si="2"/>
        <v> Пензенская Пенза Д</v>
      </c>
      <c r="U29" s="179" t="str">
        <f t="shared" si="3"/>
        <v> </v>
      </c>
      <c r="V29" s="179">
        <f t="shared" si="3"/>
        <v>1</v>
      </c>
      <c r="W29" s="179" t="str">
        <f t="shared" si="3"/>
        <v> </v>
      </c>
      <c r="X29" s="179" t="str">
        <f t="shared" si="3"/>
        <v> </v>
      </c>
    </row>
    <row r="30" spans="1:24" ht="15" customHeight="1">
      <c r="A30" s="315"/>
      <c r="B30" s="314"/>
      <c r="C30" s="305"/>
      <c r="D30" s="288"/>
      <c r="E30" s="307"/>
      <c r="F30" s="304"/>
      <c r="G30" s="288"/>
      <c r="H30" s="305"/>
      <c r="J30" s="261"/>
      <c r="K30" s="262"/>
      <c r="L30" s="264"/>
      <c r="M30" s="181">
        <v>24</v>
      </c>
      <c r="N30" s="175" t="str">
        <f>L53</f>
        <v>Пензенская</v>
      </c>
      <c r="O30" s="182">
        <f>_xlfn.SUMIFS($J$7:$J$134,$L$7:$L$134,N30,$K$7:$K$134,O$6)</f>
        <v>0</v>
      </c>
      <c r="P30" s="182">
        <f>_xlfn.SUMIFS($J$7:$J$134,$L$7:$L$134,N30,$K$7:$K$134,P$6)</f>
        <v>0</v>
      </c>
      <c r="Q30" s="183">
        <f>_xlfn.SUMIFS($J$7:$J$134,$L$7:$L$134,N30,$K$7:$K$134,Q$6)</f>
        <v>1</v>
      </c>
      <c r="R30" s="183">
        <f>_xlfn.SUMIFS($J$7:$J$134,$L$7:$L$134,N30,$K$7:$K$134,R$6)</f>
        <v>1</v>
      </c>
      <c r="T30" s="179" t="str">
        <f t="shared" si="2"/>
        <v>Пензенская</v>
      </c>
      <c r="U30" s="179" t="str">
        <f t="shared" si="3"/>
        <v> </v>
      </c>
      <c r="V30" s="179" t="str">
        <f t="shared" si="3"/>
        <v> </v>
      </c>
      <c r="W30" s="179">
        <f t="shared" si="3"/>
        <v>1</v>
      </c>
      <c r="X30" s="179">
        <f t="shared" si="3"/>
        <v>1</v>
      </c>
    </row>
    <row r="31" spans="1:25" ht="12.75" customHeight="1">
      <c r="A31" s="310">
        <v>13</v>
      </c>
      <c r="B31" s="312">
        <v>13</v>
      </c>
      <c r="C31" s="313" t="s">
        <v>116</v>
      </c>
      <c r="D31" s="317" t="s">
        <v>117</v>
      </c>
      <c r="E31" s="321" t="s">
        <v>112</v>
      </c>
      <c r="F31" s="324" t="s">
        <v>118</v>
      </c>
      <c r="G31" s="342"/>
      <c r="H31" s="313" t="s">
        <v>119</v>
      </c>
      <c r="J31" s="261">
        <v>1</v>
      </c>
      <c r="K31" s="262" t="str">
        <f>_xlfn.IFERROR(RIGHT(D31,LEN(D31)-FIND("*",SUBSTITUTE(D31," ","*",LEN(D31)-LEN(SUBSTITUTE(D31," ",""))))),D31)</f>
        <v>МСМК</v>
      </c>
      <c r="L31" s="263" t="str">
        <f>_xlfn.IFERROR(LEFT(F31,FIND(",",F31)-1),F31)</f>
        <v>Москва</v>
      </c>
      <c r="M31" s="181">
        <v>25</v>
      </c>
      <c r="N31" s="175" t="str">
        <f>L55</f>
        <v>Р. Крым</v>
      </c>
      <c r="O31" s="182">
        <f>_xlfn.SUMIFS($J$7:$J$134,$L$7:$L$134,N31,$K$7:$K$134,O$6)</f>
        <v>0</v>
      </c>
      <c r="P31" s="182">
        <f>_xlfn.SUMIFS($J$7:$J$134,$L$7:$L$134,N31,$K$7:$K$134,P$6)</f>
        <v>2</v>
      </c>
      <c r="Q31" s="183">
        <f>_xlfn.SUMIFS($J$7:$J$134,$L$7:$L$134,N31,$K$7:$K$134,Q$6)</f>
        <v>0</v>
      </c>
      <c r="R31" s="183">
        <f>_xlfn.SUMIFS($J$7:$J$134,$L$7:$L$134,N31,$K$7:$K$134,R$6)</f>
        <v>0</v>
      </c>
      <c r="S31" s="12"/>
      <c r="T31" s="179" t="str">
        <f t="shared" si="2"/>
        <v>Р. Крым</v>
      </c>
      <c r="U31" s="179" t="str">
        <f t="shared" si="3"/>
        <v> </v>
      </c>
      <c r="V31" s="179">
        <f t="shared" si="3"/>
        <v>2</v>
      </c>
      <c r="W31" s="179" t="str">
        <f t="shared" si="3"/>
        <v> </v>
      </c>
      <c r="X31" s="189" t="str">
        <f t="shared" si="3"/>
        <v> </v>
      </c>
      <c r="Y31" s="194"/>
    </row>
    <row r="32" spans="1:24" ht="15" customHeight="1">
      <c r="A32" s="311"/>
      <c r="B32" s="312"/>
      <c r="C32" s="313"/>
      <c r="D32" s="285"/>
      <c r="E32" s="322"/>
      <c r="F32" s="324"/>
      <c r="G32" s="342"/>
      <c r="H32" s="313"/>
      <c r="J32" s="261"/>
      <c r="K32" s="262"/>
      <c r="L32" s="264"/>
      <c r="M32" s="181">
        <v>26</v>
      </c>
      <c r="N32" s="175" t="str">
        <f>L57</f>
        <v>Свердловская</v>
      </c>
      <c r="O32" s="182">
        <f>_xlfn.SUMIFS($J$7:$J$134,$L$7:$L$134,N32,$K$7:$K$134,O$6)</f>
        <v>0</v>
      </c>
      <c r="P32" s="182">
        <f>_xlfn.SUMIFS($J$7:$J$134,$L$7:$L$134,N32,$K$7:$K$134,P$6)</f>
        <v>3</v>
      </c>
      <c r="Q32" s="183">
        <f>_xlfn.SUMIFS($J$7:$J$134,$L$7:$L$134,N32,$K$7:$K$134,Q$6)</f>
        <v>0</v>
      </c>
      <c r="R32" s="183">
        <f>_xlfn.SUMIFS($J$7:$J$134,$L$7:$L$134,N32,$K$7:$K$134,R$6)</f>
        <v>0</v>
      </c>
      <c r="T32" s="179" t="str">
        <f t="shared" si="2"/>
        <v>Свердловская</v>
      </c>
      <c r="U32" s="179" t="str">
        <f t="shared" si="3"/>
        <v> </v>
      </c>
      <c r="V32" s="179">
        <f t="shared" si="3"/>
        <v>3</v>
      </c>
      <c r="W32" s="179" t="str">
        <f t="shared" si="3"/>
        <v> </v>
      </c>
      <c r="X32" s="179" t="str">
        <f t="shared" si="3"/>
        <v> </v>
      </c>
    </row>
    <row r="33" spans="1:24" ht="12.75" customHeight="1">
      <c r="A33" s="314">
        <v>14</v>
      </c>
      <c r="B33" s="312">
        <v>14</v>
      </c>
      <c r="C33" s="313" t="s">
        <v>292</v>
      </c>
      <c r="D33" s="317" t="s">
        <v>293</v>
      </c>
      <c r="E33" s="306" t="s">
        <v>225</v>
      </c>
      <c r="F33" s="304" t="s">
        <v>294</v>
      </c>
      <c r="G33" s="320"/>
      <c r="H33" s="313" t="s">
        <v>295</v>
      </c>
      <c r="J33" s="261">
        <v>1</v>
      </c>
      <c r="K33" s="262" t="str">
        <f>_xlfn.IFERROR(RIGHT(D33,LEN(D33)-FIND("*",SUBSTITUTE(D33," ","*",LEN(D33)-LEN(SUBSTITUTE(D33," ",""))))),D33)</f>
        <v>МС</v>
      </c>
      <c r="L33" s="263" t="str">
        <f>_xlfn.IFERROR(LEFT(F33,FIND(",",F33)-1),F33)</f>
        <v>Московская</v>
      </c>
      <c r="M33" s="181">
        <v>27</v>
      </c>
      <c r="N33" s="175" t="str">
        <f>L59</f>
        <v>С-Петербург</v>
      </c>
      <c r="O33" s="182">
        <f>_xlfn.SUMIFS($J$7:$J$134,$L$7:$L$134,N33,$K$7:$K$134,O$6)</f>
        <v>0</v>
      </c>
      <c r="P33" s="182">
        <f>_xlfn.SUMIFS($J$7:$J$134,$L$7:$L$134,N33,$K$7:$K$134,P$6)</f>
        <v>2</v>
      </c>
      <c r="Q33" s="183">
        <f>_xlfn.SUMIFS($J$7:$J$134,$L$7:$L$134,N33,$K$7:$K$134,Q$6)</f>
        <v>0</v>
      </c>
      <c r="R33" s="183">
        <f>_xlfn.SUMIFS($J$7:$J$134,$L$7:$L$134,N33,$K$7:$K$134,R$6)</f>
        <v>1</v>
      </c>
      <c r="S33" s="12"/>
      <c r="T33" s="179" t="str">
        <f t="shared" si="2"/>
        <v>С-Петербург</v>
      </c>
      <c r="U33" s="179" t="str">
        <f t="shared" si="3"/>
        <v> </v>
      </c>
      <c r="V33" s="179">
        <f t="shared" si="3"/>
        <v>2</v>
      </c>
      <c r="W33" s="179" t="str">
        <f t="shared" si="3"/>
        <v> </v>
      </c>
      <c r="X33" s="179">
        <f t="shared" si="3"/>
        <v>1</v>
      </c>
    </row>
    <row r="34" spans="1:24" ht="15" customHeight="1">
      <c r="A34" s="315"/>
      <c r="B34" s="312"/>
      <c r="C34" s="313"/>
      <c r="D34" s="285"/>
      <c r="E34" s="307"/>
      <c r="F34" s="304"/>
      <c r="G34" s="320"/>
      <c r="H34" s="313"/>
      <c r="J34" s="261"/>
      <c r="K34" s="262"/>
      <c r="L34" s="264"/>
      <c r="M34" s="181">
        <v>28</v>
      </c>
      <c r="N34" s="175" t="str">
        <f>L61</f>
        <v>Брянская Брянск Д</v>
      </c>
      <c r="O34" s="182">
        <f>_xlfn.SUMIFS($J$7:$J$134,$L$7:$L$134,N34,$K$7:$K$134,O$6)</f>
        <v>0</v>
      </c>
      <c r="P34" s="182">
        <f>_xlfn.SUMIFS($J$7:$J$134,$L$7:$L$134,N34,$K$7:$K$134,P$6)</f>
        <v>1</v>
      </c>
      <c r="Q34" s="183">
        <f>_xlfn.SUMIFS($J$7:$J$134,$L$7:$L$134,N34,$K$7:$K$134,Q$6)</f>
        <v>1</v>
      </c>
      <c r="R34" s="183">
        <f>_xlfn.SUMIFS($J$7:$J$134,$L$7:$L$134,N34,$K$7:$K$134,R$6)</f>
        <v>0</v>
      </c>
      <c r="T34" s="179" t="str">
        <f t="shared" si="2"/>
        <v>Брянская Брянск Д</v>
      </c>
      <c r="U34" s="179" t="str">
        <f t="shared" si="3"/>
        <v> </v>
      </c>
      <c r="V34" s="179">
        <f t="shared" si="3"/>
        <v>1</v>
      </c>
      <c r="W34" s="179">
        <f t="shared" si="3"/>
        <v>1</v>
      </c>
      <c r="X34" s="179" t="str">
        <f t="shared" si="3"/>
        <v> </v>
      </c>
    </row>
    <row r="35" spans="1:24" ht="12.75" customHeight="1">
      <c r="A35" s="310">
        <v>15</v>
      </c>
      <c r="B35" s="312">
        <v>15</v>
      </c>
      <c r="C35" s="313" t="s">
        <v>247</v>
      </c>
      <c r="D35" s="317">
        <v>32198</v>
      </c>
      <c r="E35" s="321" t="s">
        <v>225</v>
      </c>
      <c r="F35" s="304" t="s">
        <v>248</v>
      </c>
      <c r="G35" s="320"/>
      <c r="H35" s="313" t="s">
        <v>249</v>
      </c>
      <c r="J35" s="261">
        <v>1</v>
      </c>
      <c r="K35" s="262">
        <f>_xlfn.IFERROR(RIGHT(D35,LEN(D35)-FIND("*",SUBSTITUTE(D35," ","*",LEN(D35)-LEN(SUBSTITUTE(D35," ",""))))),D35)</f>
        <v>32198</v>
      </c>
      <c r="L35" s="263" t="str">
        <f>_xlfn.IFERROR(LEFT(F35,FIND(",",F35)-1),F35)</f>
        <v>Смоленская</v>
      </c>
      <c r="M35" s="181">
        <v>29</v>
      </c>
      <c r="N35" s="175" t="str">
        <f>L63</f>
        <v>С-Петербург</v>
      </c>
      <c r="O35" s="182">
        <f>_xlfn.SUMIFS($J$7:$J$134,$L$7:$L$134,N35,$K$7:$K$134,O$6)</f>
        <v>0</v>
      </c>
      <c r="P35" s="182">
        <f>_xlfn.SUMIFS($J$7:$J$134,$L$7:$L$134,N35,$K$7:$K$134,P$6)</f>
        <v>2</v>
      </c>
      <c r="Q35" s="183">
        <f>_xlfn.SUMIFS($J$7:$J$134,$L$7:$L$134,N35,$K$7:$K$134,Q$6)</f>
        <v>0</v>
      </c>
      <c r="R35" s="183">
        <f>_xlfn.SUMIFS($J$7:$J$134,$L$7:$L$134,N35,$K$7:$K$134,R$6)</f>
        <v>1</v>
      </c>
      <c r="S35" s="12"/>
      <c r="T35" s="179" t="str">
        <f t="shared" si="2"/>
        <v>С-Петербург</v>
      </c>
      <c r="U35" s="179" t="str">
        <f t="shared" si="3"/>
        <v> </v>
      </c>
      <c r="V35" s="179">
        <f t="shared" si="3"/>
        <v>2</v>
      </c>
      <c r="W35" s="179" t="str">
        <f t="shared" si="3"/>
        <v> </v>
      </c>
      <c r="X35" s="179">
        <f t="shared" si="3"/>
        <v>1</v>
      </c>
    </row>
    <row r="36" spans="1:24" ht="15" customHeight="1">
      <c r="A36" s="311"/>
      <c r="B36" s="312"/>
      <c r="C36" s="313"/>
      <c r="D36" s="285"/>
      <c r="E36" s="322"/>
      <c r="F36" s="304"/>
      <c r="G36" s="320"/>
      <c r="H36" s="313"/>
      <c r="J36" s="261"/>
      <c r="K36" s="262"/>
      <c r="L36" s="264"/>
      <c r="M36" s="181">
        <v>30</v>
      </c>
      <c r="N36" s="175" t="str">
        <f>L65</f>
        <v>Р. Крым</v>
      </c>
      <c r="O36" s="182">
        <f>_xlfn.SUMIFS($J$7:$J$134,$L$7:$L$134,N36,$K$7:$K$134,O$6)</f>
        <v>0</v>
      </c>
      <c r="P36" s="182">
        <f>_xlfn.SUMIFS($J$7:$J$134,$L$7:$L$134,N36,$K$7:$K$134,P$6)</f>
        <v>2</v>
      </c>
      <c r="Q36" s="183">
        <f>_xlfn.SUMIFS($J$7:$J$134,$L$7:$L$134,N36,$K$7:$K$134,Q$6)</f>
        <v>0</v>
      </c>
      <c r="R36" s="183">
        <f>_xlfn.SUMIFS($J$7:$J$134,$L$7:$L$134,N36,$K$7:$K$134,R$6)</f>
        <v>0</v>
      </c>
      <c r="T36" s="179" t="str">
        <f t="shared" si="2"/>
        <v>Р. Крым</v>
      </c>
      <c r="U36" s="179" t="str">
        <f t="shared" si="3"/>
        <v> </v>
      </c>
      <c r="V36" s="179">
        <f t="shared" si="3"/>
        <v>2</v>
      </c>
      <c r="W36" s="179" t="str">
        <f t="shared" si="3"/>
        <v> </v>
      </c>
      <c r="X36" s="179" t="str">
        <f t="shared" si="3"/>
        <v> </v>
      </c>
    </row>
    <row r="37" spans="1:24" ht="15.75" customHeight="1">
      <c r="A37" s="314">
        <v>16</v>
      </c>
      <c r="B37" s="289">
        <v>16</v>
      </c>
      <c r="C37" s="313" t="s">
        <v>168</v>
      </c>
      <c r="D37" s="285" t="s">
        <v>169</v>
      </c>
      <c r="E37" s="306" t="s">
        <v>161</v>
      </c>
      <c r="F37" s="304" t="s">
        <v>170</v>
      </c>
      <c r="G37" s="320"/>
      <c r="H37" s="313" t="s">
        <v>171</v>
      </c>
      <c r="J37" s="261">
        <v>1</v>
      </c>
      <c r="K37" s="262" t="str">
        <f>_xlfn.IFERROR(RIGHT(D37,LEN(D37)-FIND("*",SUBSTITUTE(D37," ","*",LEN(D37)-LEN(SUBSTITUTE(D37," ",""))))),D37)</f>
        <v>МС</v>
      </c>
      <c r="L37" s="263" t="str">
        <f>_xlfn.IFERROR(LEFT(F37,FIND(",",F37)-1),F37)</f>
        <v>Чеченская</v>
      </c>
      <c r="M37" s="181">
        <v>31</v>
      </c>
      <c r="N37" s="175" t="str">
        <f>L67</f>
        <v>г. Москва</v>
      </c>
      <c r="O37" s="182">
        <f>_xlfn.SUMIFS($J$7:$J$134,$L$7:$L$134,N37,$K$7:$K$134,O$6)</f>
        <v>0</v>
      </c>
      <c r="P37" s="182">
        <f>_xlfn.SUMIFS($J$7:$J$134,$L$7:$L$134,N37,$K$7:$K$134,P$6)</f>
        <v>1</v>
      </c>
      <c r="Q37" s="183">
        <f>_xlfn.SUMIFS($J$7:$J$134,$L$7:$L$134,N37,$K$7:$K$134,Q$6)</f>
        <v>0</v>
      </c>
      <c r="R37" s="183">
        <f>_xlfn.SUMIFS($J$7:$J$134,$L$7:$L$134,N37,$K$7:$K$134,R$6)</f>
        <v>0</v>
      </c>
      <c r="S37" s="12"/>
      <c r="T37" s="179" t="str">
        <f t="shared" si="2"/>
        <v>г. Москва</v>
      </c>
      <c r="U37" s="179" t="str">
        <f t="shared" si="3"/>
        <v> </v>
      </c>
      <c r="V37" s="179">
        <f t="shared" si="3"/>
        <v>1</v>
      </c>
      <c r="W37" s="179" t="str">
        <f t="shared" si="3"/>
        <v> </v>
      </c>
      <c r="X37" s="179" t="str">
        <f t="shared" si="3"/>
        <v> </v>
      </c>
    </row>
    <row r="38" spans="1:24" ht="12.75" customHeight="1">
      <c r="A38" s="315"/>
      <c r="B38" s="289"/>
      <c r="C38" s="313"/>
      <c r="D38" s="285"/>
      <c r="E38" s="307"/>
      <c r="F38" s="304"/>
      <c r="G38" s="320"/>
      <c r="H38" s="313"/>
      <c r="J38" s="261"/>
      <c r="K38" s="262"/>
      <c r="L38" s="264"/>
      <c r="M38" s="181">
        <v>32</v>
      </c>
      <c r="N38" s="175" t="str">
        <f>L69</f>
        <v>Свердловская</v>
      </c>
      <c r="O38" s="182">
        <f>_xlfn.SUMIFS($J$7:$J$134,$L$7:$L$134,N38,$K$7:$K$134,O$6)</f>
        <v>0</v>
      </c>
      <c r="P38" s="182">
        <f>_xlfn.SUMIFS($J$7:$J$134,$L$7:$L$134,N38,$K$7:$K$134,P$6)</f>
        <v>3</v>
      </c>
      <c r="Q38" s="183">
        <f>_xlfn.SUMIFS($J$7:$J$134,$L$7:$L$134,N38,$K$7:$K$134,Q$6)</f>
        <v>0</v>
      </c>
      <c r="R38" s="183">
        <f>_xlfn.SUMIFS($J$7:$J$134,$L$7:$L$134,N38,$K$7:$K$134,R$6)</f>
        <v>0</v>
      </c>
      <c r="T38" s="179" t="str">
        <f t="shared" si="2"/>
        <v>Свердловская</v>
      </c>
      <c r="U38" s="179" t="str">
        <f t="shared" si="3"/>
        <v> </v>
      </c>
      <c r="V38" s="179">
        <f t="shared" si="3"/>
        <v>3</v>
      </c>
      <c r="W38" s="179" t="str">
        <f t="shared" si="3"/>
        <v> </v>
      </c>
      <c r="X38" s="179" t="str">
        <f t="shared" si="3"/>
        <v> </v>
      </c>
    </row>
    <row r="39" spans="1:25" ht="12.75" customHeight="1">
      <c r="A39" s="310">
        <v>17</v>
      </c>
      <c r="B39" s="314">
        <v>17</v>
      </c>
      <c r="C39" s="313" t="s">
        <v>193</v>
      </c>
      <c r="D39" s="285" t="s">
        <v>194</v>
      </c>
      <c r="E39" s="306" t="s">
        <v>189</v>
      </c>
      <c r="F39" s="324" t="s">
        <v>195</v>
      </c>
      <c r="G39" s="320"/>
      <c r="H39" s="313" t="s">
        <v>196</v>
      </c>
      <c r="J39" s="261">
        <v>1</v>
      </c>
      <c r="K39" s="262" t="str">
        <f>_xlfn.IFERROR(RIGHT(D39,LEN(D39)-FIND("*",SUBSTITUTE(D39," ","*",LEN(D39)-LEN(SUBSTITUTE(D39," ",""))))),D39)</f>
        <v>КМС</v>
      </c>
      <c r="L39" s="263" t="str">
        <f>_xlfn.IFERROR(LEFT(F39,FIND(",",F39)-1),F39)</f>
        <v>Новосибирская</v>
      </c>
      <c r="M39" s="181">
        <v>33</v>
      </c>
      <c r="N39" s="175" t="str">
        <f>L71</f>
        <v>Московская</v>
      </c>
      <c r="O39" s="182">
        <f>_xlfn.SUMIFS($J$7:$J$134,$L$7:$L$134,N39,$K$7:$K$134,O$6)</f>
        <v>1</v>
      </c>
      <c r="P39" s="182">
        <f>_xlfn.SUMIFS($J$7:$J$134,$L$7:$L$134,N39,$K$7:$K$134,P$6)</f>
        <v>2</v>
      </c>
      <c r="Q39" s="183">
        <f>_xlfn.SUMIFS($J$7:$J$134,$L$7:$L$134,N39,$K$7:$K$134,Q$6)</f>
        <v>0</v>
      </c>
      <c r="R39" s="183">
        <f>_xlfn.SUMIFS($J$7:$J$134,$L$7:$L$134,N39,$K$7:$K$134,R$6)</f>
        <v>0</v>
      </c>
      <c r="S39">
        <f>SUM(O7:R38)</f>
        <v>72</v>
      </c>
      <c r="T39" s="179" t="str">
        <f aca="true" t="shared" si="4" ref="T39:T70">N39</f>
        <v>Московская</v>
      </c>
      <c r="U39" s="179">
        <f aca="true" t="shared" si="5" ref="U39:U70">IF(O39=0," ",O39)</f>
        <v>1</v>
      </c>
      <c r="V39" s="179">
        <f aca="true" t="shared" si="6" ref="V39:V70">IF(P39=0," ",P39)</f>
        <v>2</v>
      </c>
      <c r="W39" s="179" t="str">
        <f aca="true" t="shared" si="7" ref="W39:W70">IF(Q39=0," ",Q39)</f>
        <v> </v>
      </c>
      <c r="X39" s="179" t="str">
        <f aca="true" t="shared" si="8" ref="X39:X70">IF(R39=0," ",R39)</f>
        <v> </v>
      </c>
      <c r="Y39">
        <f>SUM(U7:X38)</f>
        <v>72</v>
      </c>
    </row>
    <row r="40" spans="1:24" ht="12.75" customHeight="1">
      <c r="A40" s="311"/>
      <c r="B40" s="314"/>
      <c r="C40" s="313"/>
      <c r="D40" s="285"/>
      <c r="E40" s="307"/>
      <c r="F40" s="324"/>
      <c r="G40" s="320"/>
      <c r="H40" s="313"/>
      <c r="J40" s="261"/>
      <c r="K40" s="262"/>
      <c r="L40" s="264"/>
      <c r="M40" s="181">
        <v>34</v>
      </c>
      <c r="N40" s="175" t="str">
        <f>L73</f>
        <v>Калининградская  Д</v>
      </c>
      <c r="O40" s="182">
        <f>_xlfn.SUMIFS($J$7:$J$134,$L$7:$L$134,N40,$K$7:$K$134,O$6)</f>
        <v>1</v>
      </c>
      <c r="P40" s="182">
        <f>_xlfn.SUMIFS($J$7:$J$134,$L$7:$L$134,N40,$K$7:$K$134,P$6)</f>
        <v>0</v>
      </c>
      <c r="Q40" s="183">
        <f>_xlfn.SUMIFS($J$7:$J$134,$L$7:$L$134,N40,$K$7:$K$134,Q$6)</f>
        <v>0</v>
      </c>
      <c r="R40" s="183">
        <f>_xlfn.SUMIFS($J$7:$J$134,$L$7:$L$134,N40,$K$7:$K$134,R$6)</f>
        <v>0</v>
      </c>
      <c r="T40" s="179" t="str">
        <f t="shared" si="4"/>
        <v>Калининградская  Д</v>
      </c>
      <c r="U40" s="179">
        <f t="shared" si="5"/>
        <v>1</v>
      </c>
      <c r="V40" s="179" t="str">
        <f t="shared" si="6"/>
        <v> </v>
      </c>
      <c r="W40" s="179" t="str">
        <f t="shared" si="7"/>
        <v> </v>
      </c>
      <c r="X40" s="179" t="str">
        <f t="shared" si="8"/>
        <v> </v>
      </c>
    </row>
    <row r="41" spans="1:24" ht="12.75" customHeight="1">
      <c r="A41" s="314">
        <v>18</v>
      </c>
      <c r="B41" s="312">
        <v>18</v>
      </c>
      <c r="C41" s="313" t="s">
        <v>164</v>
      </c>
      <c r="D41" s="317" t="s">
        <v>165</v>
      </c>
      <c r="E41" s="306" t="s">
        <v>161</v>
      </c>
      <c r="F41" s="304" t="s">
        <v>166</v>
      </c>
      <c r="G41" s="320"/>
      <c r="H41" s="313" t="s">
        <v>167</v>
      </c>
      <c r="J41" s="261">
        <v>1</v>
      </c>
      <c r="K41" s="262" t="str">
        <f>_xlfn.IFERROR(RIGHT(D41,LEN(D41)-FIND("*",SUBSTITUTE(D41," ","*",LEN(D41)-LEN(SUBSTITUTE(D41," ",""))))),D41)</f>
        <v>МС</v>
      </c>
      <c r="L41" s="263" t="str">
        <f>_xlfn.IFERROR(LEFT(F41,FIND(",",F41)-1),F41)</f>
        <v>Ставропольский</v>
      </c>
      <c r="M41" s="181">
        <v>35</v>
      </c>
      <c r="N41" s="175" t="str">
        <f>L75</f>
        <v>КЧР</v>
      </c>
      <c r="O41" s="182">
        <f>_xlfn.SUMIFS($J$7:$J$134,$L$7:$L$134,N41,$K$7:$K$134,O$6)</f>
        <v>1</v>
      </c>
      <c r="P41" s="182">
        <f>_xlfn.SUMIFS($J$7:$J$134,$L$7:$L$134,N41,$K$7:$K$134,P$6)</f>
        <v>0</v>
      </c>
      <c r="Q41" s="183">
        <f>_xlfn.SUMIFS($J$7:$J$134,$L$7:$L$134,N41,$K$7:$K$134,Q$6)</f>
        <v>0</v>
      </c>
      <c r="R41" s="183">
        <f>_xlfn.SUMIFS($J$7:$J$134,$L$7:$L$134,N41,$K$7:$K$134,R$6)</f>
        <v>0</v>
      </c>
      <c r="T41" s="179" t="str">
        <f t="shared" si="4"/>
        <v>КЧР</v>
      </c>
      <c r="U41" s="179">
        <f t="shared" si="5"/>
        <v>1</v>
      </c>
      <c r="V41" s="179" t="str">
        <f t="shared" si="6"/>
        <v> </v>
      </c>
      <c r="W41" s="179" t="str">
        <f t="shared" si="7"/>
        <v> </v>
      </c>
      <c r="X41" s="179" t="str">
        <f t="shared" si="8"/>
        <v> </v>
      </c>
    </row>
    <row r="42" spans="1:24" ht="12.75" customHeight="1">
      <c r="A42" s="315"/>
      <c r="B42" s="312"/>
      <c r="C42" s="313"/>
      <c r="D42" s="340"/>
      <c r="E42" s="307"/>
      <c r="F42" s="304"/>
      <c r="G42" s="320"/>
      <c r="H42" s="313"/>
      <c r="J42" s="261"/>
      <c r="K42" s="262"/>
      <c r="L42" s="264"/>
      <c r="M42" s="181">
        <v>36</v>
      </c>
      <c r="N42" s="175" t="str">
        <f>L77</f>
        <v>Москва</v>
      </c>
      <c r="O42" s="182">
        <f>_xlfn.SUMIFS($J$7:$J$134,$L$7:$L$134,N42,$K$7:$K$134,O$6)</f>
        <v>0</v>
      </c>
      <c r="P42" s="182">
        <f>_xlfn.SUMIFS($J$7:$J$134,$L$7:$L$134,N42,$K$7:$K$134,P$6)</f>
        <v>3</v>
      </c>
      <c r="Q42" s="183">
        <f>_xlfn.SUMIFS($J$7:$J$134,$L$7:$L$134,N42,$K$7:$K$134,Q$6)</f>
        <v>3</v>
      </c>
      <c r="R42" s="183">
        <f>_xlfn.SUMIFS($J$7:$J$134,$L$7:$L$134,N42,$K$7:$K$134,R$6)</f>
        <v>1</v>
      </c>
      <c r="T42" s="179" t="str">
        <f t="shared" si="4"/>
        <v>Москва</v>
      </c>
      <c r="U42" s="179" t="str">
        <f t="shared" si="5"/>
        <v> </v>
      </c>
      <c r="V42" s="179">
        <f t="shared" si="6"/>
        <v>3</v>
      </c>
      <c r="W42" s="179">
        <f t="shared" si="7"/>
        <v>3</v>
      </c>
      <c r="X42" s="179">
        <f t="shared" si="8"/>
        <v>1</v>
      </c>
    </row>
    <row r="43" spans="1:24" ht="12.75" customHeight="1">
      <c r="A43" s="310">
        <v>19</v>
      </c>
      <c r="B43" s="289">
        <v>19</v>
      </c>
      <c r="C43" s="305" t="s">
        <v>289</v>
      </c>
      <c r="D43" s="288" t="s">
        <v>290</v>
      </c>
      <c r="E43" s="306" t="s">
        <v>256</v>
      </c>
      <c r="F43" s="304" t="s">
        <v>283</v>
      </c>
      <c r="G43" s="288"/>
      <c r="H43" s="305" t="s">
        <v>291</v>
      </c>
      <c r="J43" s="261">
        <v>1</v>
      </c>
      <c r="K43" s="262" t="str">
        <f>_xlfn.IFERROR(RIGHT(D43,LEN(D43)-FIND("*",SUBSTITUTE(D43," ","*",LEN(D43)-LEN(SUBSTITUTE(D43," ",""))))),D43)</f>
        <v>мс</v>
      </c>
      <c r="L43" s="263" t="str">
        <f>_xlfn.IFERROR(LEFT(F43,FIND(",",F43)-1),F43)</f>
        <v>Краснодарский</v>
      </c>
      <c r="M43" s="181">
        <v>37</v>
      </c>
      <c r="N43" s="175" t="str">
        <f>L79</f>
        <v>Ивановская</v>
      </c>
      <c r="O43" s="182">
        <f>_xlfn.SUMIFS($J$7:$J$134,$L$7:$L$134,N43,$K$7:$K$134,O$6)</f>
        <v>1</v>
      </c>
      <c r="P43" s="182">
        <f>_xlfn.SUMIFS($J$7:$J$134,$L$7:$L$134,N43,$K$7:$K$134,P$6)</f>
        <v>0</v>
      </c>
      <c r="Q43" s="183">
        <f>_xlfn.SUMIFS($J$7:$J$134,$L$7:$L$134,N43,$K$7:$K$134,Q$6)</f>
        <v>0</v>
      </c>
      <c r="R43" s="183">
        <f>_xlfn.SUMIFS($J$7:$J$134,$L$7:$L$134,N43,$K$7:$K$134,R$6)</f>
        <v>0</v>
      </c>
      <c r="T43" s="179" t="str">
        <f t="shared" si="4"/>
        <v>Ивановская</v>
      </c>
      <c r="U43" s="179">
        <f t="shared" si="5"/>
        <v>1</v>
      </c>
      <c r="V43" s="179" t="str">
        <f t="shared" si="6"/>
        <v> </v>
      </c>
      <c r="W43" s="179" t="str">
        <f t="shared" si="7"/>
        <v> </v>
      </c>
      <c r="X43" s="179" t="str">
        <f t="shared" si="8"/>
        <v> </v>
      </c>
    </row>
    <row r="44" spans="1:24" ht="12.75" customHeight="1">
      <c r="A44" s="311"/>
      <c r="B44" s="289"/>
      <c r="C44" s="305"/>
      <c r="D44" s="288"/>
      <c r="E44" s="307"/>
      <c r="F44" s="304"/>
      <c r="G44" s="288"/>
      <c r="H44" s="305"/>
      <c r="J44" s="261"/>
      <c r="K44" s="262"/>
      <c r="L44" s="264"/>
      <c r="M44" s="181">
        <v>38</v>
      </c>
      <c r="N44" s="175" t="str">
        <f>L81</f>
        <v>Омская</v>
      </c>
      <c r="O44" s="182">
        <f>_xlfn.SUMIFS($J$7:$J$134,$L$7:$L$134,N44,$K$7:$K$134,O$6)</f>
        <v>0</v>
      </c>
      <c r="P44" s="182">
        <f>_xlfn.SUMIFS($J$7:$J$134,$L$7:$L$134,N44,$K$7:$K$134,P$6)</f>
        <v>1</v>
      </c>
      <c r="Q44" s="183">
        <f>_xlfn.SUMIFS($J$7:$J$134,$L$7:$L$134,N44,$K$7:$K$134,Q$6)</f>
        <v>0</v>
      </c>
      <c r="R44" s="183">
        <f>_xlfn.SUMIFS($J$7:$J$134,$L$7:$L$134,N44,$K$7:$K$134,R$6)</f>
        <v>0</v>
      </c>
      <c r="T44" s="179" t="str">
        <f t="shared" si="4"/>
        <v>Омская</v>
      </c>
      <c r="U44" s="179" t="str">
        <f t="shared" si="5"/>
        <v> </v>
      </c>
      <c r="V44" s="179">
        <f t="shared" si="6"/>
        <v>1</v>
      </c>
      <c r="W44" s="179" t="str">
        <f t="shared" si="7"/>
        <v> </v>
      </c>
      <c r="X44" s="179" t="str">
        <f t="shared" si="8"/>
        <v> </v>
      </c>
    </row>
    <row r="45" spans="1:24" ht="12.75" customHeight="1">
      <c r="A45" s="314">
        <v>20</v>
      </c>
      <c r="B45" s="314">
        <v>20</v>
      </c>
      <c r="C45" s="313" t="s">
        <v>96</v>
      </c>
      <c r="D45" s="285" t="s">
        <v>97</v>
      </c>
      <c r="E45" s="334" t="s">
        <v>93</v>
      </c>
      <c r="F45" s="339" t="s">
        <v>98</v>
      </c>
      <c r="G45" s="318"/>
      <c r="H45" s="318" t="s">
        <v>99</v>
      </c>
      <c r="J45" s="261">
        <v>1</v>
      </c>
      <c r="K45" s="262" t="str">
        <f>_xlfn.IFERROR(RIGHT(D45,LEN(D45)-FIND("*",SUBSTITUTE(D45," ","*",LEN(D45)-LEN(SUBSTITUTE(D45," ",""))))),D45)</f>
        <v>МС</v>
      </c>
      <c r="L45" s="263" t="str">
        <f>_xlfn.IFERROR(LEFT(F45,FIND(",",F45)-1),F45)</f>
        <v>Хабаровский</v>
      </c>
      <c r="M45" s="181">
        <v>39</v>
      </c>
      <c r="N45" s="175" t="str">
        <f>L83</f>
        <v>Приморский</v>
      </c>
      <c r="O45" s="182">
        <f>_xlfn.SUMIFS($J$7:$J$134,$L$7:$L$134,N45,$K$7:$K$134,O$6)</f>
        <v>0</v>
      </c>
      <c r="P45" s="182">
        <f>_xlfn.SUMIFS($J$7:$J$134,$L$7:$L$134,N45,$K$7:$K$134,P$6)</f>
        <v>1</v>
      </c>
      <c r="Q45" s="183">
        <f>_xlfn.SUMIFS($J$7:$J$134,$L$7:$L$134,N45,$K$7:$K$134,Q$6)</f>
        <v>0</v>
      </c>
      <c r="R45" s="183">
        <f>_xlfn.SUMIFS($J$7:$J$134,$L$7:$L$134,N45,$K$7:$K$134,R$6)</f>
        <v>0</v>
      </c>
      <c r="T45" s="179" t="str">
        <f t="shared" si="4"/>
        <v>Приморский</v>
      </c>
      <c r="U45" s="179" t="str">
        <f t="shared" si="5"/>
        <v> </v>
      </c>
      <c r="V45" s="179">
        <f t="shared" si="6"/>
        <v>1</v>
      </c>
      <c r="W45" s="179" t="str">
        <f t="shared" si="7"/>
        <v> </v>
      </c>
      <c r="X45" s="179" t="str">
        <f t="shared" si="8"/>
        <v> </v>
      </c>
    </row>
    <row r="46" spans="1:24" ht="12.75" customHeight="1">
      <c r="A46" s="315"/>
      <c r="B46" s="314"/>
      <c r="C46" s="313"/>
      <c r="D46" s="285"/>
      <c r="E46" s="335"/>
      <c r="F46" s="339"/>
      <c r="G46" s="318"/>
      <c r="H46" s="318"/>
      <c r="J46" s="261"/>
      <c r="K46" s="262"/>
      <c r="L46" s="264"/>
      <c r="M46" s="181">
        <v>40</v>
      </c>
      <c r="N46" s="175" t="str">
        <f>L85</f>
        <v>Рязанская</v>
      </c>
      <c r="O46" s="182">
        <f>_xlfn.SUMIFS($J$7:$J$134,$L$7:$L$134,N46,$K$7:$K$134,O$6)</f>
        <v>0</v>
      </c>
      <c r="P46" s="182">
        <f>_xlfn.SUMIFS($J$7:$J$134,$L$7:$L$134,N46,$K$7:$K$134,P$6)</f>
        <v>0</v>
      </c>
      <c r="Q46" s="183">
        <f>_xlfn.SUMIFS($J$7:$J$134,$L$7:$L$134,N46,$K$7:$K$134,Q$6)</f>
        <v>1</v>
      </c>
      <c r="R46" s="183">
        <f>_xlfn.SUMIFS($J$7:$J$134,$L$7:$L$134,N46,$K$7:$K$134,R$6)</f>
        <v>0</v>
      </c>
      <c r="T46" s="179" t="str">
        <f t="shared" si="4"/>
        <v>Рязанская</v>
      </c>
      <c r="U46" s="179" t="str">
        <f t="shared" si="5"/>
        <v> </v>
      </c>
      <c r="V46" s="179" t="str">
        <f t="shared" si="6"/>
        <v> </v>
      </c>
      <c r="W46" s="179">
        <f t="shared" si="7"/>
        <v>1</v>
      </c>
      <c r="X46" s="179" t="str">
        <f t="shared" si="8"/>
        <v> </v>
      </c>
    </row>
    <row r="47" spans="1:24" ht="12.75" customHeight="1">
      <c r="A47" s="310">
        <v>21</v>
      </c>
      <c r="B47" s="312">
        <v>21</v>
      </c>
      <c r="C47" s="305" t="s">
        <v>254</v>
      </c>
      <c r="D47" s="288" t="s">
        <v>255</v>
      </c>
      <c r="E47" s="306" t="s">
        <v>256</v>
      </c>
      <c r="F47" s="304" t="s">
        <v>257</v>
      </c>
      <c r="G47" s="288"/>
      <c r="H47" s="305" t="s">
        <v>258</v>
      </c>
      <c r="J47" s="261">
        <v>1</v>
      </c>
      <c r="K47" s="262" t="str">
        <f>_xlfn.IFERROR(RIGHT(D47,LEN(D47)-FIND("*",SUBSTITUTE(D47," ","*",LEN(D47)-LEN(SUBSTITUTE(D47," ",""))))),D47)</f>
        <v>мс</v>
      </c>
      <c r="L47" s="263" t="str">
        <f>_xlfn.IFERROR(LEFT(F47,FIND(",",F47)-1),F47)</f>
        <v>Краснодарский край Новоросийск</v>
      </c>
      <c r="M47" s="181">
        <v>41</v>
      </c>
      <c r="N47" s="175" t="str">
        <f>L87</f>
        <v>Пензенская</v>
      </c>
      <c r="O47" s="182">
        <f>_xlfn.SUMIFS($J$7:$J$134,$L$7:$L$134,N47,$K$7:$K$134,O$6)</f>
        <v>0</v>
      </c>
      <c r="P47" s="182">
        <f>_xlfn.SUMIFS($J$7:$J$134,$L$7:$L$134,N47,$K$7:$K$134,P$6)</f>
        <v>0</v>
      </c>
      <c r="Q47" s="183">
        <f>_xlfn.SUMIFS($J$7:$J$134,$L$7:$L$134,N47,$K$7:$K$134,Q$6)</f>
        <v>1</v>
      </c>
      <c r="R47" s="183">
        <f>_xlfn.SUMIFS($J$7:$J$134,$L$7:$L$134,N47,$K$7:$K$134,R$6)</f>
        <v>1</v>
      </c>
      <c r="T47" s="179" t="str">
        <f t="shared" si="4"/>
        <v>Пензенская</v>
      </c>
      <c r="U47" s="179" t="str">
        <f t="shared" si="5"/>
        <v> </v>
      </c>
      <c r="V47" s="179" t="str">
        <f t="shared" si="6"/>
        <v> </v>
      </c>
      <c r="W47" s="179">
        <f t="shared" si="7"/>
        <v>1</v>
      </c>
      <c r="X47" s="179">
        <f t="shared" si="8"/>
        <v>1</v>
      </c>
    </row>
    <row r="48" spans="1:24" ht="12.75" customHeight="1">
      <c r="A48" s="311"/>
      <c r="B48" s="312"/>
      <c r="C48" s="305"/>
      <c r="D48" s="288"/>
      <c r="E48" s="307"/>
      <c r="F48" s="304"/>
      <c r="G48" s="288"/>
      <c r="H48" s="305"/>
      <c r="J48" s="261"/>
      <c r="K48" s="262"/>
      <c r="L48" s="264"/>
      <c r="M48" s="181">
        <v>42</v>
      </c>
      <c r="N48" s="175" t="str">
        <f>L89</f>
        <v>Ярославская</v>
      </c>
      <c r="O48" s="182">
        <f>_xlfn.SUMIFS($J$7:$J$134,$L$7:$L$134,N48,$K$7:$K$134,O$6)</f>
        <v>0</v>
      </c>
      <c r="P48" s="182">
        <f>_xlfn.SUMIFS($J$7:$J$134,$L$7:$L$134,N48,$K$7:$K$134,P$6)</f>
        <v>2</v>
      </c>
      <c r="Q48" s="183">
        <f>_xlfn.SUMIFS($J$7:$J$134,$L$7:$L$134,N48,$K$7:$K$134,Q$6)</f>
        <v>0</v>
      </c>
      <c r="R48" s="183">
        <f>_xlfn.SUMIFS($J$7:$J$134,$L$7:$L$134,N48,$K$7:$K$134,R$6)</f>
        <v>0</v>
      </c>
      <c r="T48" s="179" t="str">
        <f t="shared" si="4"/>
        <v>Ярославская</v>
      </c>
      <c r="U48" s="179" t="str">
        <f t="shared" si="5"/>
        <v> </v>
      </c>
      <c r="V48" s="179">
        <f t="shared" si="6"/>
        <v>2</v>
      </c>
      <c r="W48" s="179" t="str">
        <f t="shared" si="7"/>
        <v> </v>
      </c>
      <c r="X48" s="179" t="str">
        <f t="shared" si="8"/>
        <v> </v>
      </c>
    </row>
    <row r="49" spans="1:24" ht="12.75" customHeight="1">
      <c r="A49" s="314">
        <v>22</v>
      </c>
      <c r="B49" s="289">
        <v>22</v>
      </c>
      <c r="C49" s="305" t="s">
        <v>132</v>
      </c>
      <c r="D49" s="288" t="s">
        <v>133</v>
      </c>
      <c r="E49" s="306" t="s">
        <v>134</v>
      </c>
      <c r="F49" s="304" t="s">
        <v>135</v>
      </c>
      <c r="G49" s="288" t="s">
        <v>114</v>
      </c>
      <c r="H49" s="305" t="s">
        <v>136</v>
      </c>
      <c r="J49" s="261">
        <v>1</v>
      </c>
      <c r="K49" s="262" t="str">
        <f>_xlfn.IFERROR(RIGHT(D49,LEN(D49)-FIND("*",SUBSTITUTE(D49," ","*",LEN(D49)-LEN(SUBSTITUTE(D49," ",""))))),D49)</f>
        <v>мс</v>
      </c>
      <c r="L49" s="263" t="str">
        <f>_xlfn.IFERROR(LEFT(F49,FIND(",",F49)-1),F49)</f>
        <v> Пермский</v>
      </c>
      <c r="M49" s="181">
        <v>43</v>
      </c>
      <c r="N49" s="175" t="str">
        <f>L91</f>
        <v>Москва</v>
      </c>
      <c r="O49" s="182">
        <f>_xlfn.SUMIFS($J$7:$J$134,$L$7:$L$134,N49,$K$7:$K$134,O$6)</f>
        <v>0</v>
      </c>
      <c r="P49" s="182">
        <f>_xlfn.SUMIFS($J$7:$J$134,$L$7:$L$134,N49,$K$7:$K$134,P$6)</f>
        <v>3</v>
      </c>
      <c r="Q49" s="183">
        <f>_xlfn.SUMIFS($J$7:$J$134,$L$7:$L$134,N49,$K$7:$K$134,Q$6)</f>
        <v>3</v>
      </c>
      <c r="R49" s="183">
        <f>_xlfn.SUMIFS($J$7:$J$134,$L$7:$L$134,N49,$K$7:$K$134,R$6)</f>
        <v>1</v>
      </c>
      <c r="T49" s="179" t="str">
        <f t="shared" si="4"/>
        <v>Москва</v>
      </c>
      <c r="U49" s="179" t="str">
        <f t="shared" si="5"/>
        <v> </v>
      </c>
      <c r="V49" s="179">
        <f t="shared" si="6"/>
        <v>3</v>
      </c>
      <c r="W49" s="179">
        <f t="shared" si="7"/>
        <v>3</v>
      </c>
      <c r="X49" s="179">
        <f t="shared" si="8"/>
        <v>1</v>
      </c>
    </row>
    <row r="50" spans="1:24" ht="12.75" customHeight="1">
      <c r="A50" s="315"/>
      <c r="B50" s="289"/>
      <c r="C50" s="305"/>
      <c r="D50" s="288"/>
      <c r="E50" s="307"/>
      <c r="F50" s="304"/>
      <c r="G50" s="288"/>
      <c r="H50" s="305"/>
      <c r="J50" s="261"/>
      <c r="K50" s="262"/>
      <c r="L50" s="264"/>
      <c r="M50" s="181">
        <v>44</v>
      </c>
      <c r="N50" s="175" t="str">
        <f>L93</f>
        <v>Московская</v>
      </c>
      <c r="O50" s="182">
        <f>_xlfn.SUMIFS($J$7:$J$134,$L$7:$L$134,N50,$K$7:$K$134,O$6)</f>
        <v>1</v>
      </c>
      <c r="P50" s="182">
        <f>_xlfn.SUMIFS($J$7:$J$134,$L$7:$L$134,N50,$K$7:$K$134,P$6)</f>
        <v>2</v>
      </c>
      <c r="Q50" s="183">
        <f>_xlfn.SUMIFS($J$7:$J$134,$L$7:$L$134,N50,$K$7:$K$134,Q$6)</f>
        <v>0</v>
      </c>
      <c r="R50" s="183">
        <f>_xlfn.SUMIFS($J$7:$J$134,$L$7:$L$134,N50,$K$7:$K$134,R$6)</f>
        <v>0</v>
      </c>
      <c r="T50" s="179" t="str">
        <f t="shared" si="4"/>
        <v>Московская</v>
      </c>
      <c r="U50" s="179">
        <f t="shared" si="5"/>
        <v>1</v>
      </c>
      <c r="V50" s="179">
        <f t="shared" si="6"/>
        <v>2</v>
      </c>
      <c r="W50" s="179" t="str">
        <f t="shared" si="7"/>
        <v> </v>
      </c>
      <c r="X50" s="179" t="str">
        <f t="shared" si="8"/>
        <v> </v>
      </c>
    </row>
    <row r="51" spans="1:24" ht="12.75" customHeight="1">
      <c r="A51" s="310">
        <v>23</v>
      </c>
      <c r="B51" s="312">
        <v>23</v>
      </c>
      <c r="C51" s="305" t="s">
        <v>274</v>
      </c>
      <c r="D51" s="288" t="s">
        <v>147</v>
      </c>
      <c r="E51" s="306" t="s">
        <v>134</v>
      </c>
      <c r="F51" s="304" t="s">
        <v>148</v>
      </c>
      <c r="G51" s="288" t="s">
        <v>114</v>
      </c>
      <c r="H51" s="305" t="s">
        <v>149</v>
      </c>
      <c r="J51" s="261">
        <v>1</v>
      </c>
      <c r="K51" s="262" t="str">
        <f>_xlfn.IFERROR(RIGHT(D51,LEN(D51)-FIND("*",SUBSTITUTE(D51," ","*",LEN(D51)-LEN(SUBSTITUTE(D51," ",""))))),D51)</f>
        <v>мс</v>
      </c>
      <c r="L51" s="263" t="str">
        <f>_xlfn.IFERROR(LEFT(F51,FIND(",",F51)-1),F51)</f>
        <v> Пензенская Пенза Д</v>
      </c>
      <c r="M51" s="181">
        <v>45</v>
      </c>
      <c r="N51" s="175" t="str">
        <f>L95</f>
        <v>Саратовская</v>
      </c>
      <c r="O51" s="182">
        <f>_xlfn.SUMIFS($J$7:$J$134,$L$7:$L$134,N51,$K$7:$K$134,O$6)</f>
        <v>0</v>
      </c>
      <c r="P51" s="182">
        <f>_xlfn.SUMIFS($J$7:$J$134,$L$7:$L$134,N51,$K$7:$K$134,P$6)</f>
        <v>1</v>
      </c>
      <c r="Q51" s="183">
        <f>_xlfn.SUMIFS($J$7:$J$134,$L$7:$L$134,N51,$K$7:$K$134,Q$6)</f>
        <v>0</v>
      </c>
      <c r="R51" s="183">
        <f>_xlfn.SUMIFS($J$7:$J$134,$L$7:$L$134,N51,$K$7:$K$134,R$6)</f>
        <v>0</v>
      </c>
      <c r="T51" s="179" t="str">
        <f t="shared" si="4"/>
        <v>Саратовская</v>
      </c>
      <c r="U51" s="179" t="str">
        <f t="shared" si="5"/>
        <v> </v>
      </c>
      <c r="V51" s="179">
        <f t="shared" si="6"/>
        <v>1</v>
      </c>
      <c r="W51" s="179" t="str">
        <f t="shared" si="7"/>
        <v> </v>
      </c>
      <c r="X51" s="179" t="str">
        <f t="shared" si="8"/>
        <v> </v>
      </c>
    </row>
    <row r="52" spans="1:24" ht="12.75" customHeight="1">
      <c r="A52" s="311"/>
      <c r="B52" s="312"/>
      <c r="C52" s="305"/>
      <c r="D52" s="288"/>
      <c r="E52" s="307"/>
      <c r="F52" s="304"/>
      <c r="G52" s="288"/>
      <c r="H52" s="305"/>
      <c r="J52" s="261"/>
      <c r="K52" s="262"/>
      <c r="L52" s="264"/>
      <c r="M52" s="181">
        <v>46</v>
      </c>
      <c r="N52" s="175" t="str">
        <f>L97</f>
        <v>Москва</v>
      </c>
      <c r="O52" s="182">
        <f>_xlfn.SUMIFS($J$7:$J$134,$L$7:$L$134,N52,$K$7:$K$134,O$6)</f>
        <v>0</v>
      </c>
      <c r="P52" s="182">
        <f>_xlfn.SUMIFS($J$7:$J$134,$L$7:$L$134,N52,$K$7:$K$134,P$6)</f>
        <v>3</v>
      </c>
      <c r="Q52" s="183">
        <f>_xlfn.SUMIFS($J$7:$J$134,$L$7:$L$134,N52,$K$7:$K$134,Q$6)</f>
        <v>3</v>
      </c>
      <c r="R52" s="183">
        <f>_xlfn.SUMIFS($J$7:$J$134,$L$7:$L$134,N52,$K$7:$K$134,R$6)</f>
        <v>1</v>
      </c>
      <c r="T52" s="179" t="str">
        <f t="shared" si="4"/>
        <v>Москва</v>
      </c>
      <c r="U52" s="179" t="str">
        <f t="shared" si="5"/>
        <v> </v>
      </c>
      <c r="V52" s="179">
        <f t="shared" si="6"/>
        <v>3</v>
      </c>
      <c r="W52" s="179">
        <f t="shared" si="7"/>
        <v>3</v>
      </c>
      <c r="X52" s="179">
        <f t="shared" si="8"/>
        <v>1</v>
      </c>
    </row>
    <row r="53" spans="1:24" ht="12.75" customHeight="1">
      <c r="A53" s="314">
        <v>24</v>
      </c>
      <c r="B53" s="316">
        <v>24</v>
      </c>
      <c r="C53" s="313" t="s">
        <v>141</v>
      </c>
      <c r="D53" s="285" t="s">
        <v>142</v>
      </c>
      <c r="E53" s="321" t="s">
        <v>134</v>
      </c>
      <c r="F53" s="304" t="s">
        <v>143</v>
      </c>
      <c r="G53" s="320"/>
      <c r="H53" s="313" t="s">
        <v>144</v>
      </c>
      <c r="J53" s="261">
        <v>1</v>
      </c>
      <c r="K53" s="262" t="str">
        <f>_xlfn.IFERROR(RIGHT(D53,LEN(D53)-FIND("*",SUBSTITUTE(D53," ","*",LEN(D53)-LEN(SUBSTITUTE(D53," ",""))))),D53)</f>
        <v>змс</v>
      </c>
      <c r="L53" s="263" t="str">
        <f>_xlfn.IFERROR(LEFT(F53,FIND(",",F53)-1),F53)</f>
        <v>Пензенская</v>
      </c>
      <c r="M53" s="181">
        <v>47</v>
      </c>
      <c r="N53" s="175" t="str">
        <f>L99</f>
        <v>Брянская Брянск Д</v>
      </c>
      <c r="O53" s="182">
        <f>_xlfn.SUMIFS($J$7:$J$134,$L$7:$L$134,N53,$K$7:$K$134,O$6)</f>
        <v>0</v>
      </c>
      <c r="P53" s="182">
        <f>_xlfn.SUMIFS($J$7:$J$134,$L$7:$L$134,N53,$K$7:$K$134,P$6)</f>
        <v>1</v>
      </c>
      <c r="Q53" s="183">
        <f>_xlfn.SUMIFS($J$7:$J$134,$L$7:$L$134,N53,$K$7:$K$134,Q$6)</f>
        <v>1</v>
      </c>
      <c r="R53" s="183">
        <f>_xlfn.SUMIFS($J$7:$J$134,$L$7:$L$134,N53,$K$7:$K$134,R$6)</f>
        <v>0</v>
      </c>
      <c r="T53" s="179" t="str">
        <f t="shared" si="4"/>
        <v>Брянская Брянск Д</v>
      </c>
      <c r="U53" s="179" t="str">
        <f t="shared" si="5"/>
        <v> </v>
      </c>
      <c r="V53" s="179">
        <f t="shared" si="6"/>
        <v>1</v>
      </c>
      <c r="W53" s="179">
        <f t="shared" si="7"/>
        <v>1</v>
      </c>
      <c r="X53" s="179" t="str">
        <f t="shared" si="8"/>
        <v> </v>
      </c>
    </row>
    <row r="54" spans="1:24" ht="12.75" customHeight="1">
      <c r="A54" s="315"/>
      <c r="B54" s="316"/>
      <c r="C54" s="313"/>
      <c r="D54" s="285"/>
      <c r="E54" s="322"/>
      <c r="F54" s="304"/>
      <c r="G54" s="320"/>
      <c r="H54" s="313"/>
      <c r="J54" s="261"/>
      <c r="K54" s="262"/>
      <c r="L54" s="264"/>
      <c r="M54" s="181">
        <v>48</v>
      </c>
      <c r="N54" s="175" t="str">
        <f>L101</f>
        <v>Москва</v>
      </c>
      <c r="O54" s="182">
        <f>_xlfn.SUMIFS($J$7:$J$134,$L$7:$L$134,N54,$K$7:$K$134,O$6)</f>
        <v>0</v>
      </c>
      <c r="P54" s="182">
        <f>_xlfn.SUMIFS($J$7:$J$134,$L$7:$L$134,N54,$K$7:$K$134,P$6)</f>
        <v>3</v>
      </c>
      <c r="Q54" s="183">
        <f>_xlfn.SUMIFS($J$7:$J$134,$L$7:$L$134,N54,$K$7:$K$134,Q$6)</f>
        <v>3</v>
      </c>
      <c r="R54" s="183">
        <f>_xlfn.SUMIFS($J$7:$J$134,$L$7:$L$134,N54,$K$7:$K$134,R$6)</f>
        <v>1</v>
      </c>
      <c r="T54" s="179" t="str">
        <f t="shared" si="4"/>
        <v>Москва</v>
      </c>
      <c r="U54" s="179" t="str">
        <f t="shared" si="5"/>
        <v> </v>
      </c>
      <c r="V54" s="179">
        <f t="shared" si="6"/>
        <v>3</v>
      </c>
      <c r="W54" s="179">
        <f t="shared" si="7"/>
        <v>3</v>
      </c>
      <c r="X54" s="179">
        <f t="shared" si="8"/>
        <v>1</v>
      </c>
    </row>
    <row r="55" spans="1:24" ht="12.75" customHeight="1">
      <c r="A55" s="310">
        <v>25</v>
      </c>
      <c r="B55" s="314">
        <v>25</v>
      </c>
      <c r="C55" s="313" t="s">
        <v>269</v>
      </c>
      <c r="D55" s="285" t="s">
        <v>107</v>
      </c>
      <c r="E55" s="321" t="s">
        <v>104</v>
      </c>
      <c r="F55" s="304" t="s">
        <v>108</v>
      </c>
      <c r="G55" s="320"/>
      <c r="H55" s="313" t="s">
        <v>109</v>
      </c>
      <c r="J55" s="261">
        <v>1</v>
      </c>
      <c r="K55" s="262" t="str">
        <f>_xlfn.IFERROR(RIGHT(D55,LEN(D55)-FIND("*",SUBSTITUTE(D55," ","*",LEN(D55)-LEN(SUBSTITUTE(D55," ",""))))),D55)</f>
        <v>мс</v>
      </c>
      <c r="L55" s="263" t="str">
        <f>_xlfn.IFERROR(LEFT(F55,FIND(",",F55)-1),F55)</f>
        <v>Р. Крым</v>
      </c>
      <c r="M55" s="181">
        <v>49</v>
      </c>
      <c r="N55" s="175" t="str">
        <f>L103</f>
        <v>Ставропольский</v>
      </c>
      <c r="O55" s="182">
        <f>_xlfn.SUMIFS($J$7:$J$134,$L$7:$L$134,N55,$K$7:$K$134,O$6)</f>
        <v>0</v>
      </c>
      <c r="P55" s="182">
        <f>_xlfn.SUMIFS($J$7:$J$134,$L$7:$L$134,N55,$K$7:$K$134,P$6)</f>
        <v>2</v>
      </c>
      <c r="Q55" s="183">
        <f>_xlfn.SUMIFS($J$7:$J$134,$L$7:$L$134,N55,$K$7:$K$134,Q$6)</f>
        <v>0</v>
      </c>
      <c r="R55" s="183">
        <f>_xlfn.SUMIFS($J$7:$J$134,$L$7:$L$134,N55,$K$7:$K$134,R$6)</f>
        <v>0</v>
      </c>
      <c r="T55" s="179" t="str">
        <f t="shared" si="4"/>
        <v>Ставропольский</v>
      </c>
      <c r="U55" s="179" t="str">
        <f t="shared" si="5"/>
        <v> </v>
      </c>
      <c r="V55" s="179">
        <f t="shared" si="6"/>
        <v>2</v>
      </c>
      <c r="W55" s="179" t="str">
        <f t="shared" si="7"/>
        <v> </v>
      </c>
      <c r="X55" s="179" t="str">
        <f t="shared" si="8"/>
        <v> </v>
      </c>
    </row>
    <row r="56" spans="1:24" ht="12.75" customHeight="1">
      <c r="A56" s="311"/>
      <c r="B56" s="314"/>
      <c r="C56" s="313"/>
      <c r="D56" s="285"/>
      <c r="E56" s="322"/>
      <c r="F56" s="304"/>
      <c r="G56" s="320"/>
      <c r="H56" s="313"/>
      <c r="J56" s="261"/>
      <c r="K56" s="262"/>
      <c r="L56" s="264"/>
      <c r="M56" s="181">
        <v>50</v>
      </c>
      <c r="N56" s="175" t="str">
        <f>L105</f>
        <v>Москва</v>
      </c>
      <c r="O56" s="182">
        <f>_xlfn.SUMIFS($J$7:$J$134,$L$7:$L$134,N56,$K$7:$K$134,O$6)</f>
        <v>0</v>
      </c>
      <c r="P56" s="182">
        <f>_xlfn.SUMIFS($J$7:$J$134,$L$7:$L$134,N56,$K$7:$K$134,P$6)</f>
        <v>3</v>
      </c>
      <c r="Q56" s="183">
        <f>_xlfn.SUMIFS($J$7:$J$134,$L$7:$L$134,N56,$K$7:$K$134,Q$6)</f>
        <v>3</v>
      </c>
      <c r="R56" s="183">
        <f>_xlfn.SUMIFS($J$7:$J$134,$L$7:$L$134,N56,$K$7:$K$134,R$6)</f>
        <v>1</v>
      </c>
      <c r="T56" s="179" t="str">
        <f t="shared" si="4"/>
        <v>Москва</v>
      </c>
      <c r="U56" s="179" t="str">
        <f t="shared" si="5"/>
        <v> </v>
      </c>
      <c r="V56" s="179">
        <f t="shared" si="6"/>
        <v>3</v>
      </c>
      <c r="W56" s="179">
        <f t="shared" si="7"/>
        <v>3</v>
      </c>
      <c r="X56" s="179">
        <f t="shared" si="8"/>
        <v>1</v>
      </c>
    </row>
    <row r="57" spans="1:24" ht="12.75" customHeight="1">
      <c r="A57" s="314">
        <v>26</v>
      </c>
      <c r="B57" s="312">
        <v>26</v>
      </c>
      <c r="C57" s="313" t="s">
        <v>221</v>
      </c>
      <c r="D57" s="285" t="s">
        <v>222</v>
      </c>
      <c r="E57" s="334" t="s">
        <v>204</v>
      </c>
      <c r="F57" s="339" t="s">
        <v>217</v>
      </c>
      <c r="G57" s="302"/>
      <c r="H57" s="318" t="s">
        <v>218</v>
      </c>
      <c r="J57" s="261">
        <v>1</v>
      </c>
      <c r="K57" s="262" t="str">
        <f>_xlfn.IFERROR(RIGHT(D57,LEN(D57)-FIND("*",SUBSTITUTE(D57," ","*",LEN(D57)-LEN(SUBSTITUTE(D57," ",""))))),D57)</f>
        <v>МС</v>
      </c>
      <c r="L57" s="263" t="str">
        <f>_xlfn.IFERROR(LEFT(F57,FIND(",",F57)-1),F57)</f>
        <v>Свердловская</v>
      </c>
      <c r="M57" s="181">
        <v>51</v>
      </c>
      <c r="N57" s="175" t="str">
        <f>L107</f>
        <v>Красноярский</v>
      </c>
      <c r="O57" s="182">
        <f>_xlfn.SUMIFS($J$7:$J$134,$L$7:$L$134,N57,$K$7:$K$134,O$6)</f>
        <v>0</v>
      </c>
      <c r="P57" s="182">
        <f>_xlfn.SUMIFS($J$7:$J$134,$L$7:$L$134,N57,$K$7:$K$134,P$6)</f>
        <v>1</v>
      </c>
      <c r="Q57" s="183">
        <f>_xlfn.SUMIFS($J$7:$J$134,$L$7:$L$134,N57,$K$7:$K$134,Q$6)</f>
        <v>0</v>
      </c>
      <c r="R57" s="183">
        <f>_xlfn.SUMIFS($J$7:$J$134,$L$7:$L$134,N57,$K$7:$K$134,R$6)</f>
        <v>0</v>
      </c>
      <c r="T57" s="179" t="str">
        <f t="shared" si="4"/>
        <v>Красноярский</v>
      </c>
      <c r="U57" s="179" t="str">
        <f t="shared" si="5"/>
        <v> </v>
      </c>
      <c r="V57" s="179">
        <f t="shared" si="6"/>
        <v>1</v>
      </c>
      <c r="W57" s="179" t="str">
        <f t="shared" si="7"/>
        <v> </v>
      </c>
      <c r="X57" s="179" t="str">
        <f t="shared" si="8"/>
        <v> </v>
      </c>
    </row>
    <row r="58" spans="1:24" ht="12.75" customHeight="1">
      <c r="A58" s="315"/>
      <c r="B58" s="312"/>
      <c r="C58" s="313"/>
      <c r="D58" s="285"/>
      <c r="E58" s="335"/>
      <c r="F58" s="339"/>
      <c r="G58" s="302"/>
      <c r="H58" s="318"/>
      <c r="J58" s="261"/>
      <c r="K58" s="262"/>
      <c r="L58" s="264"/>
      <c r="M58" s="181">
        <v>52</v>
      </c>
      <c r="N58" s="175" t="str">
        <f>L109</f>
        <v>Краснодарский край Армавир</v>
      </c>
      <c r="O58" s="182">
        <f>_xlfn.SUMIFS($J$7:$J$134,$L$7:$L$134,N58,$K$7:$K$134,O$6)</f>
        <v>0</v>
      </c>
      <c r="P58" s="182">
        <f>_xlfn.SUMIFS($J$7:$J$134,$L$7:$L$134,N58,$K$7:$K$134,P$6)</f>
        <v>1</v>
      </c>
      <c r="Q58" s="183">
        <f>_xlfn.SUMIFS($J$7:$J$134,$L$7:$L$134,N58,$K$7:$K$134,Q$6)</f>
        <v>0</v>
      </c>
      <c r="R58" s="183">
        <f>_xlfn.SUMIFS($J$7:$J$134,$L$7:$L$134,N58,$K$7:$K$134,R$6)</f>
        <v>0</v>
      </c>
      <c r="T58" s="179" t="str">
        <f t="shared" si="4"/>
        <v>Краснодарский край Армавир</v>
      </c>
      <c r="U58" s="179" t="str">
        <f t="shared" si="5"/>
        <v> </v>
      </c>
      <c r="V58" s="179">
        <f t="shared" si="6"/>
        <v>1</v>
      </c>
      <c r="W58" s="179" t="str">
        <f t="shared" si="7"/>
        <v> </v>
      </c>
      <c r="X58" s="179" t="str">
        <f t="shared" si="8"/>
        <v> </v>
      </c>
    </row>
    <row r="59" spans="1:24" ht="12.75" customHeight="1">
      <c r="A59" s="310">
        <v>27</v>
      </c>
      <c r="B59" s="312">
        <v>27</v>
      </c>
      <c r="C59" s="318" t="s">
        <v>180</v>
      </c>
      <c r="D59" s="302" t="s">
        <v>181</v>
      </c>
      <c r="E59" s="306" t="s">
        <v>177</v>
      </c>
      <c r="F59" s="319" t="s">
        <v>310</v>
      </c>
      <c r="G59" s="320"/>
      <c r="H59" s="313" t="s">
        <v>182</v>
      </c>
      <c r="J59" s="261">
        <v>1</v>
      </c>
      <c r="K59" s="262" t="str">
        <f>_xlfn.IFERROR(RIGHT(D59,LEN(D59)-FIND("*",SUBSTITUTE(D59," ","*",LEN(D59)-LEN(SUBSTITUTE(D59," ",""))))),D59)</f>
        <v>ЗМС</v>
      </c>
      <c r="L59" s="263" t="str">
        <f>_xlfn.IFERROR(LEFT(F59,FIND(",",F59)-1),F59)</f>
        <v>С-Петербург</v>
      </c>
      <c r="M59" s="181">
        <v>53</v>
      </c>
      <c r="N59" s="175" t="str">
        <f>L111</f>
        <v>Краснодарский</v>
      </c>
      <c r="O59" s="182">
        <f>_xlfn.SUMIFS($J$7:$J$134,$L$7:$L$134,N59,$K$7:$K$134,O$6)</f>
        <v>2</v>
      </c>
      <c r="P59" s="182">
        <f>_xlfn.SUMIFS($J$7:$J$134,$L$7:$L$134,N59,$K$7:$K$134,P$6)</f>
        <v>2</v>
      </c>
      <c r="Q59" s="183">
        <f>_xlfn.SUMIFS($J$7:$J$134,$L$7:$L$134,N59,$K$7:$K$134,Q$6)</f>
        <v>0</v>
      </c>
      <c r="R59" s="183">
        <f>_xlfn.SUMIFS($J$7:$J$134,$L$7:$L$134,N59,$K$7:$K$134,R$6)</f>
        <v>0</v>
      </c>
      <c r="T59" s="179" t="str">
        <f t="shared" si="4"/>
        <v>Краснодарский</v>
      </c>
      <c r="U59" s="179">
        <f t="shared" si="5"/>
        <v>2</v>
      </c>
      <c r="V59" s="179">
        <f t="shared" si="6"/>
        <v>2</v>
      </c>
      <c r="W59" s="179" t="str">
        <f t="shared" si="7"/>
        <v> </v>
      </c>
      <c r="X59" s="179" t="str">
        <f t="shared" si="8"/>
        <v> </v>
      </c>
    </row>
    <row r="60" spans="1:24" ht="12.75" customHeight="1">
      <c r="A60" s="311"/>
      <c r="B60" s="312"/>
      <c r="C60" s="318"/>
      <c r="D60" s="302"/>
      <c r="E60" s="307"/>
      <c r="F60" s="319"/>
      <c r="G60" s="320"/>
      <c r="H60" s="313"/>
      <c r="J60" s="261"/>
      <c r="K60" s="262"/>
      <c r="L60" s="264"/>
      <c r="M60" s="181">
        <v>54</v>
      </c>
      <c r="N60" s="175">
        <f>L113</f>
        <v>0</v>
      </c>
      <c r="O60" s="182">
        <f>_xlfn.SUMIFS($J$7:$J$134,$L$7:$L$134,N60,$K$7:$K$134,O$6)</f>
        <v>0</v>
      </c>
      <c r="P60" s="182">
        <f>_xlfn.SUMIFS($J$7:$J$134,$L$7:$L$134,N60,$K$7:$K$134,P$6)</f>
        <v>0</v>
      </c>
      <c r="Q60" s="183">
        <f>_xlfn.SUMIFS($J$7:$J$134,$L$7:$L$134,N60,$K$7:$K$134,Q$6)</f>
        <v>0</v>
      </c>
      <c r="R60" s="183">
        <f>_xlfn.SUMIFS($J$7:$J$134,$L$7:$L$134,N60,$K$7:$K$134,R$6)</f>
        <v>0</v>
      </c>
      <c r="T60" s="179">
        <f t="shared" si="4"/>
        <v>0</v>
      </c>
      <c r="U60" s="179" t="str">
        <f t="shared" si="5"/>
        <v> </v>
      </c>
      <c r="V60" s="179" t="str">
        <f t="shared" si="6"/>
        <v> </v>
      </c>
      <c r="W60" s="179" t="str">
        <f t="shared" si="7"/>
        <v> </v>
      </c>
      <c r="X60" s="179" t="str">
        <f t="shared" si="8"/>
        <v> </v>
      </c>
    </row>
    <row r="61" spans="1:24" ht="12.75" customHeight="1">
      <c r="A61" s="314">
        <v>28</v>
      </c>
      <c r="B61" s="312">
        <v>28</v>
      </c>
      <c r="C61" s="305" t="s">
        <v>232</v>
      </c>
      <c r="D61" s="288" t="s">
        <v>233</v>
      </c>
      <c r="E61" s="306" t="s">
        <v>225</v>
      </c>
      <c r="F61" s="304" t="s">
        <v>230</v>
      </c>
      <c r="G61" s="288" t="s">
        <v>234</v>
      </c>
      <c r="H61" s="305" t="s">
        <v>235</v>
      </c>
      <c r="J61" s="261">
        <v>1</v>
      </c>
      <c r="K61" s="262" t="str">
        <f>_xlfn.IFERROR(RIGHT(D61,LEN(D61)-FIND("*",SUBSTITUTE(D61," ","*",LEN(D61)-LEN(SUBSTITUTE(D61," ",""))))),D61)</f>
        <v>мс</v>
      </c>
      <c r="L61" s="263" t="str">
        <f>_xlfn.IFERROR(LEFT(F61,FIND(",",F61)-1),F61)</f>
        <v>Брянская Брянск Д</v>
      </c>
      <c r="M61" s="181">
        <v>55</v>
      </c>
      <c r="N61" s="175">
        <f>L115</f>
        <v>0</v>
      </c>
      <c r="O61" s="182">
        <f>_xlfn.SUMIFS($J$7:$J$134,$L$7:$L$134,N61,$K$7:$K$134,O$6)</f>
        <v>0</v>
      </c>
      <c r="P61" s="182">
        <f>_xlfn.SUMIFS($J$7:$J$134,$L$7:$L$134,N61,$K$7:$K$134,P$6)</f>
        <v>0</v>
      </c>
      <c r="Q61" s="183">
        <f>_xlfn.SUMIFS($J$7:$J$134,$L$7:$L$134,N61,$K$7:$K$134,Q$6)</f>
        <v>0</v>
      </c>
      <c r="R61" s="183">
        <f>_xlfn.SUMIFS($J$7:$J$134,$L$7:$L$134,N61,$K$7:$K$134,R$6)</f>
        <v>0</v>
      </c>
      <c r="T61" s="179">
        <f t="shared" si="4"/>
        <v>0</v>
      </c>
      <c r="U61" s="179" t="str">
        <f t="shared" si="5"/>
        <v> </v>
      </c>
      <c r="V61" s="179" t="str">
        <f t="shared" si="6"/>
        <v> </v>
      </c>
      <c r="W61" s="179" t="str">
        <f t="shared" si="7"/>
        <v> </v>
      </c>
      <c r="X61" s="179" t="str">
        <f t="shared" si="8"/>
        <v> </v>
      </c>
    </row>
    <row r="62" spans="1:24" ht="12.75" customHeight="1">
      <c r="A62" s="315"/>
      <c r="B62" s="312"/>
      <c r="C62" s="305"/>
      <c r="D62" s="288"/>
      <c r="E62" s="307"/>
      <c r="F62" s="304"/>
      <c r="G62" s="288"/>
      <c r="H62" s="305"/>
      <c r="J62" s="261"/>
      <c r="K62" s="262"/>
      <c r="L62" s="264"/>
      <c r="M62" s="181">
        <v>56</v>
      </c>
      <c r="N62" s="175">
        <f>L117</f>
        <v>0</v>
      </c>
      <c r="O62" s="182">
        <f>_xlfn.SUMIFS($J$7:$J$134,$L$7:$L$134,N62,$K$7:$K$134,O$6)</f>
        <v>0</v>
      </c>
      <c r="P62" s="182">
        <f>_xlfn.SUMIFS($J$7:$J$134,$L$7:$L$134,N62,$K$7:$K$134,P$6)</f>
        <v>0</v>
      </c>
      <c r="Q62" s="183">
        <f>_xlfn.SUMIFS($J$7:$J$134,$L$7:$L$134,N62,$K$7:$K$134,Q$6)</f>
        <v>0</v>
      </c>
      <c r="R62" s="183">
        <f>_xlfn.SUMIFS($J$7:$J$134,$L$7:$L$134,N62,$K$7:$K$134,R$6)</f>
        <v>0</v>
      </c>
      <c r="T62" s="179">
        <f t="shared" si="4"/>
        <v>0</v>
      </c>
      <c r="U62" s="179" t="str">
        <f t="shared" si="5"/>
        <v> </v>
      </c>
      <c r="V62" s="179" t="str">
        <f t="shared" si="6"/>
        <v> </v>
      </c>
      <c r="W62" s="179" t="str">
        <f t="shared" si="7"/>
        <v> </v>
      </c>
      <c r="X62" s="179" t="str">
        <f t="shared" si="8"/>
        <v> </v>
      </c>
    </row>
    <row r="63" spans="1:24" ht="12.75" customHeight="1">
      <c r="A63" s="310">
        <v>29</v>
      </c>
      <c r="B63" s="312">
        <v>29</v>
      </c>
      <c r="C63" s="313" t="s">
        <v>175</v>
      </c>
      <c r="D63" s="317" t="s">
        <v>176</v>
      </c>
      <c r="E63" s="306" t="s">
        <v>177</v>
      </c>
      <c r="F63" s="319" t="s">
        <v>178</v>
      </c>
      <c r="G63" s="320"/>
      <c r="H63" s="313" t="s">
        <v>179</v>
      </c>
      <c r="J63" s="261">
        <v>1</v>
      </c>
      <c r="K63" s="262" t="str">
        <f>_xlfn.IFERROR(RIGHT(D63,LEN(D63)-FIND("*",SUBSTITUTE(D63," ","*",LEN(D63)-LEN(SUBSTITUTE(D63," ",""))))),D63)</f>
        <v>МС</v>
      </c>
      <c r="L63" s="263" t="str">
        <f>_xlfn.IFERROR(LEFT(F63,FIND(",",F63)-1),F63)</f>
        <v>С-Петербург</v>
      </c>
      <c r="M63" s="181">
        <v>57</v>
      </c>
      <c r="N63" s="175">
        <f>L119</f>
        <v>0</v>
      </c>
      <c r="O63" s="182">
        <f>_xlfn.SUMIFS($J$7:$J$134,$L$7:$L$134,N63,$K$7:$K$134,O$6)</f>
        <v>0</v>
      </c>
      <c r="P63" s="182">
        <f>_xlfn.SUMIFS($J$7:$J$134,$L$7:$L$134,N63,$K$7:$K$134,P$6)</f>
        <v>0</v>
      </c>
      <c r="Q63" s="183">
        <f>_xlfn.SUMIFS($J$7:$J$134,$L$7:$L$134,N63,$K$7:$K$134,Q$6)</f>
        <v>0</v>
      </c>
      <c r="R63" s="183">
        <f>_xlfn.SUMIFS($J$7:$J$134,$L$7:$L$134,N63,$K$7:$K$134,R$6)</f>
        <v>0</v>
      </c>
      <c r="T63" s="179">
        <f t="shared" si="4"/>
        <v>0</v>
      </c>
      <c r="U63" s="179" t="str">
        <f t="shared" si="5"/>
        <v> </v>
      </c>
      <c r="V63" s="179" t="str">
        <f t="shared" si="6"/>
        <v> </v>
      </c>
      <c r="W63" s="179" t="str">
        <f t="shared" si="7"/>
        <v> </v>
      </c>
      <c r="X63" s="179" t="str">
        <f t="shared" si="8"/>
        <v> </v>
      </c>
    </row>
    <row r="64" spans="1:24" ht="12.75" customHeight="1">
      <c r="A64" s="311"/>
      <c r="B64" s="312"/>
      <c r="C64" s="313"/>
      <c r="D64" s="340"/>
      <c r="E64" s="307"/>
      <c r="F64" s="319"/>
      <c r="G64" s="320"/>
      <c r="H64" s="313"/>
      <c r="J64" s="261"/>
      <c r="K64" s="262"/>
      <c r="L64" s="264"/>
      <c r="M64" s="181">
        <v>58</v>
      </c>
      <c r="N64" s="175">
        <f>L121</f>
        <v>0</v>
      </c>
      <c r="O64" s="182">
        <f>_xlfn.SUMIFS($J$7:$J$134,$L$7:$L$134,N64,$K$7:$K$134,O$6)</f>
        <v>0</v>
      </c>
      <c r="P64" s="182">
        <f>_xlfn.SUMIFS($J$7:$J$134,$L$7:$L$134,N64,$K$7:$K$134,P$6)</f>
        <v>0</v>
      </c>
      <c r="Q64" s="183">
        <f>_xlfn.SUMIFS($J$7:$J$134,$L$7:$L$134,N64,$K$7:$K$134,Q$6)</f>
        <v>0</v>
      </c>
      <c r="R64" s="183">
        <f>_xlfn.SUMIFS($J$7:$J$134,$L$7:$L$134,N64,$K$7:$K$134,R$6)</f>
        <v>0</v>
      </c>
      <c r="T64" s="179">
        <f t="shared" si="4"/>
        <v>0</v>
      </c>
      <c r="U64" s="179" t="str">
        <f t="shared" si="5"/>
        <v> </v>
      </c>
      <c r="V64" s="179" t="str">
        <f t="shared" si="6"/>
        <v> </v>
      </c>
      <c r="W64" s="179" t="str">
        <f t="shared" si="7"/>
        <v> </v>
      </c>
      <c r="X64" s="179" t="str">
        <f t="shared" si="8"/>
        <v> </v>
      </c>
    </row>
    <row r="65" spans="1:24" ht="12.75" customHeight="1">
      <c r="A65" s="314">
        <v>30</v>
      </c>
      <c r="B65" s="289">
        <v>30</v>
      </c>
      <c r="C65" s="313" t="s">
        <v>268</v>
      </c>
      <c r="D65" s="285" t="s">
        <v>103</v>
      </c>
      <c r="E65" s="321" t="s">
        <v>104</v>
      </c>
      <c r="F65" s="304" t="s">
        <v>105</v>
      </c>
      <c r="G65" s="320"/>
      <c r="H65" s="313" t="s">
        <v>106</v>
      </c>
      <c r="J65" s="261">
        <v>1</v>
      </c>
      <c r="K65" s="262" t="str">
        <f>_xlfn.IFERROR(RIGHT(D65,LEN(D65)-FIND("*",SUBSTITUTE(D65," ","*",LEN(D65)-LEN(SUBSTITUTE(D65," ",""))))),D65)</f>
        <v>мс</v>
      </c>
      <c r="L65" s="263" t="str">
        <f>_xlfn.IFERROR(LEFT(F65,FIND(",",F65)-1),F65)</f>
        <v>Р. Крым</v>
      </c>
      <c r="M65" s="181">
        <v>59</v>
      </c>
      <c r="N65" s="175">
        <f>L123</f>
        <v>0</v>
      </c>
      <c r="O65" s="182">
        <f>_xlfn.SUMIFS($J$7:$J$134,$L$7:$L$134,N65,$K$7:$K$134,O$6)</f>
        <v>0</v>
      </c>
      <c r="P65" s="182">
        <f>_xlfn.SUMIFS($J$7:$J$134,$L$7:$L$134,N65,$K$7:$K$134,P$6)</f>
        <v>0</v>
      </c>
      <c r="Q65" s="183">
        <f>_xlfn.SUMIFS($J$7:$J$134,$L$7:$L$134,N65,$K$7:$K$134,Q$6)</f>
        <v>0</v>
      </c>
      <c r="R65" s="183">
        <f>_xlfn.SUMIFS($J$7:$J$134,$L$7:$L$134,N65,$K$7:$K$134,R$6)</f>
        <v>0</v>
      </c>
      <c r="T65" s="179">
        <f t="shared" si="4"/>
        <v>0</v>
      </c>
      <c r="U65" s="179" t="str">
        <f t="shared" si="5"/>
        <v> </v>
      </c>
      <c r="V65" s="179" t="str">
        <f t="shared" si="6"/>
        <v> </v>
      </c>
      <c r="W65" s="179" t="str">
        <f t="shared" si="7"/>
        <v> </v>
      </c>
      <c r="X65" s="179" t="str">
        <f t="shared" si="8"/>
        <v> </v>
      </c>
    </row>
    <row r="66" spans="1:24" ht="12.75" customHeight="1">
      <c r="A66" s="315"/>
      <c r="B66" s="289"/>
      <c r="C66" s="313"/>
      <c r="D66" s="285"/>
      <c r="E66" s="322"/>
      <c r="F66" s="304"/>
      <c r="G66" s="320"/>
      <c r="H66" s="313"/>
      <c r="J66" s="261"/>
      <c r="K66" s="262"/>
      <c r="L66" s="264"/>
      <c r="M66" s="181">
        <v>60</v>
      </c>
      <c r="N66" s="175">
        <f>L125</f>
        <v>0</v>
      </c>
      <c r="O66" s="182">
        <f>_xlfn.SUMIFS($J$7:$J$134,$L$7:$L$134,N66,$K$7:$K$134,O$6)</f>
        <v>0</v>
      </c>
      <c r="P66" s="182">
        <f>_xlfn.SUMIFS($J$7:$J$134,$L$7:$L$134,N66,$K$7:$K$134,P$6)</f>
        <v>0</v>
      </c>
      <c r="Q66" s="183">
        <f>_xlfn.SUMIFS($J$7:$J$134,$L$7:$L$134,N66,$K$7:$K$134,Q$6)</f>
        <v>0</v>
      </c>
      <c r="R66" s="183">
        <f>_xlfn.SUMIFS($J$7:$J$134,$L$7:$L$134,N66,$K$7:$K$134,R$6)</f>
        <v>0</v>
      </c>
      <c r="T66" s="179">
        <f t="shared" si="4"/>
        <v>0</v>
      </c>
      <c r="U66" s="179" t="str">
        <f t="shared" si="5"/>
        <v> </v>
      </c>
      <c r="V66" s="179" t="str">
        <f t="shared" si="6"/>
        <v> </v>
      </c>
      <c r="W66" s="179" t="str">
        <f t="shared" si="7"/>
        <v> </v>
      </c>
      <c r="X66" s="179" t="str">
        <f t="shared" si="8"/>
        <v> </v>
      </c>
    </row>
    <row r="67" spans="1:24" ht="12.75" customHeight="1">
      <c r="A67" s="310">
        <v>31</v>
      </c>
      <c r="B67" s="312">
        <v>31</v>
      </c>
      <c r="C67" s="305" t="s">
        <v>110</v>
      </c>
      <c r="D67" s="288" t="s">
        <v>111</v>
      </c>
      <c r="E67" s="306" t="s">
        <v>112</v>
      </c>
      <c r="F67" s="304" t="s">
        <v>113</v>
      </c>
      <c r="G67" s="288" t="s">
        <v>114</v>
      </c>
      <c r="H67" s="305" t="s">
        <v>115</v>
      </c>
      <c r="J67" s="261">
        <v>1</v>
      </c>
      <c r="K67" s="262" t="str">
        <f>_xlfn.IFERROR(RIGHT(D67,LEN(D67)-FIND("*",SUBSTITUTE(D67," ","*",LEN(D67)-LEN(SUBSTITUTE(D67," ",""))))),D67)</f>
        <v>МС</v>
      </c>
      <c r="L67" s="263" t="str">
        <f>_xlfn.IFERROR(LEFT(F67,FIND(",",F67)-1),F67)</f>
        <v>г. Москва</v>
      </c>
      <c r="M67" s="181">
        <v>61</v>
      </c>
      <c r="N67" s="175">
        <f>L127</f>
        <v>0</v>
      </c>
      <c r="O67" s="182">
        <f>_xlfn.SUMIFS($J$7:$J$134,$L$7:$L$134,N67,$K$7:$K$134,O$6)</f>
        <v>0</v>
      </c>
      <c r="P67" s="182">
        <f>_xlfn.SUMIFS($J$7:$J$134,$L$7:$L$134,N67,$K$7:$K$134,P$6)</f>
        <v>0</v>
      </c>
      <c r="Q67" s="183">
        <f>_xlfn.SUMIFS($J$7:$J$134,$L$7:$L$134,N67,$K$7:$K$134,Q$6)</f>
        <v>0</v>
      </c>
      <c r="R67" s="183">
        <f>_xlfn.SUMIFS($J$7:$J$134,$L$7:$L$134,N67,$K$7:$K$134,R$6)</f>
        <v>0</v>
      </c>
      <c r="T67" s="179">
        <f t="shared" si="4"/>
        <v>0</v>
      </c>
      <c r="U67" s="179" t="str">
        <f t="shared" si="5"/>
        <v> </v>
      </c>
      <c r="V67" s="179" t="str">
        <f t="shared" si="6"/>
        <v> </v>
      </c>
      <c r="W67" s="179" t="str">
        <f t="shared" si="7"/>
        <v> </v>
      </c>
      <c r="X67" s="179" t="str">
        <f t="shared" si="8"/>
        <v> </v>
      </c>
    </row>
    <row r="68" spans="1:24" ht="12.75" customHeight="1">
      <c r="A68" s="311"/>
      <c r="B68" s="312"/>
      <c r="C68" s="305"/>
      <c r="D68" s="288"/>
      <c r="E68" s="307"/>
      <c r="F68" s="304"/>
      <c r="G68" s="288"/>
      <c r="H68" s="305"/>
      <c r="J68" s="261"/>
      <c r="K68" s="262"/>
      <c r="L68" s="264"/>
      <c r="M68" s="181">
        <v>62</v>
      </c>
      <c r="N68" s="175">
        <f>L129</f>
        <v>0</v>
      </c>
      <c r="O68" s="182">
        <f>_xlfn.SUMIFS($J$7:$J$134,$L$7:$L$134,N68,$K$7:$K$134,O$6)</f>
        <v>0</v>
      </c>
      <c r="P68" s="182">
        <f>_xlfn.SUMIFS($J$7:$J$134,$L$7:$L$134,N68,$K$7:$K$134,P$6)</f>
        <v>0</v>
      </c>
      <c r="Q68" s="183">
        <f>_xlfn.SUMIFS($J$7:$J$134,$L$7:$L$134,N68,$K$7:$K$134,Q$6)</f>
        <v>0</v>
      </c>
      <c r="R68" s="183">
        <f>_xlfn.SUMIFS($J$7:$J$134,$L$7:$L$134,N68,$K$7:$K$134,R$6)</f>
        <v>0</v>
      </c>
      <c r="T68" s="179">
        <f t="shared" si="4"/>
        <v>0</v>
      </c>
      <c r="U68" s="179" t="str">
        <f t="shared" si="5"/>
        <v> </v>
      </c>
      <c r="V68" s="179" t="str">
        <f t="shared" si="6"/>
        <v> </v>
      </c>
      <c r="W68" s="179" t="str">
        <f t="shared" si="7"/>
        <v> </v>
      </c>
      <c r="X68" s="179" t="str">
        <f t="shared" si="8"/>
        <v> </v>
      </c>
    </row>
    <row r="69" spans="1:24" ht="12.75" customHeight="1">
      <c r="A69" s="314">
        <v>32</v>
      </c>
      <c r="B69" s="312">
        <v>32</v>
      </c>
      <c r="C69" s="313" t="s">
        <v>215</v>
      </c>
      <c r="D69" s="317" t="s">
        <v>216</v>
      </c>
      <c r="E69" s="334" t="s">
        <v>204</v>
      </c>
      <c r="F69" s="339" t="s">
        <v>217</v>
      </c>
      <c r="G69" s="302"/>
      <c r="H69" s="318" t="s">
        <v>218</v>
      </c>
      <c r="J69" s="261">
        <v>1</v>
      </c>
      <c r="K69" s="262" t="str">
        <f>_xlfn.IFERROR(RIGHT(D69,LEN(D69)-FIND("*",SUBSTITUTE(D69," ","*",LEN(D69)-LEN(SUBSTITUTE(D69," ",""))))),D69)</f>
        <v>МС</v>
      </c>
      <c r="L69" s="263" t="str">
        <f>_xlfn.IFERROR(LEFT(F69,FIND(",",F69)-1),F69)</f>
        <v>Свердловская</v>
      </c>
      <c r="M69" s="181">
        <v>63</v>
      </c>
      <c r="N69" s="175">
        <f>L131</f>
        <v>0</v>
      </c>
      <c r="O69" s="182">
        <f>_xlfn.SUMIFS($J$7:$J$134,$L$7:$L$134,N69,$K$7:$K$134,O$6)</f>
        <v>0</v>
      </c>
      <c r="P69" s="182">
        <f>_xlfn.SUMIFS($J$7:$J$134,$L$7:$L$134,N69,$K$7:$K$134,P$6)</f>
        <v>0</v>
      </c>
      <c r="Q69" s="183">
        <f>_xlfn.SUMIFS($J$7:$J$134,$L$7:$L$134,N69,$K$7:$K$134,Q$6)</f>
        <v>0</v>
      </c>
      <c r="R69" s="183">
        <f>_xlfn.SUMIFS($J$7:$J$134,$L$7:$L$134,N69,$K$7:$K$134,R$6)</f>
        <v>0</v>
      </c>
      <c r="T69" s="179">
        <f t="shared" si="4"/>
        <v>0</v>
      </c>
      <c r="U69" s="179" t="str">
        <f t="shared" si="5"/>
        <v> </v>
      </c>
      <c r="V69" s="179" t="str">
        <f t="shared" si="6"/>
        <v> </v>
      </c>
      <c r="W69" s="179" t="str">
        <f t="shared" si="7"/>
        <v> </v>
      </c>
      <c r="X69" s="179" t="str">
        <f t="shared" si="8"/>
        <v> </v>
      </c>
    </row>
    <row r="70" spans="1:24" ht="12.75" customHeight="1">
      <c r="A70" s="315"/>
      <c r="B70" s="312"/>
      <c r="C70" s="313"/>
      <c r="D70" s="317"/>
      <c r="E70" s="335"/>
      <c r="F70" s="339"/>
      <c r="G70" s="302"/>
      <c r="H70" s="318"/>
      <c r="J70" s="261"/>
      <c r="K70" s="262"/>
      <c r="L70" s="264"/>
      <c r="M70" s="181">
        <v>64</v>
      </c>
      <c r="N70" s="175">
        <f>L133</f>
        <v>0</v>
      </c>
      <c r="O70" s="182">
        <f>_xlfn.SUMIFS($J$7:$J$134,$L$7:$L$134,N70,$K$7:$K$134,O$6)</f>
        <v>0</v>
      </c>
      <c r="P70" s="182">
        <f>_xlfn.SUMIFS($J$7:$J$134,$L$7:$L$134,N70,$K$7:$K$134,P$6)</f>
        <v>0</v>
      </c>
      <c r="Q70" s="183">
        <f>_xlfn.SUMIFS($J$7:$J$134,$L$7:$L$134,N70,$K$7:$K$134,Q$6)</f>
        <v>0</v>
      </c>
      <c r="R70" s="183">
        <f>_xlfn.SUMIFS($J$7:$J$134,$L$7:$L$134,N70,$K$7:$K$134,R$6)</f>
        <v>0</v>
      </c>
      <c r="T70" s="179">
        <f t="shared" si="4"/>
        <v>0</v>
      </c>
      <c r="U70" s="179" t="str">
        <f t="shared" si="5"/>
        <v> </v>
      </c>
      <c r="V70" s="179" t="str">
        <f t="shared" si="6"/>
        <v> </v>
      </c>
      <c r="W70" s="179" t="str">
        <f t="shared" si="7"/>
        <v> </v>
      </c>
      <c r="X70" s="179" t="str">
        <f t="shared" si="8"/>
        <v> </v>
      </c>
    </row>
    <row r="71" spans="1:69" ht="12.75" customHeight="1">
      <c r="A71" s="310">
        <v>33</v>
      </c>
      <c r="B71" s="312">
        <v>33</v>
      </c>
      <c r="C71" s="313" t="s">
        <v>271</v>
      </c>
      <c r="D71" s="285" t="s">
        <v>253</v>
      </c>
      <c r="E71" s="321" t="s">
        <v>225</v>
      </c>
      <c r="F71" s="304" t="s">
        <v>251</v>
      </c>
      <c r="G71" s="320"/>
      <c r="H71" s="313" t="s">
        <v>252</v>
      </c>
      <c r="I71" s="12"/>
      <c r="J71" s="261">
        <v>1</v>
      </c>
      <c r="K71" s="262" t="str">
        <f>_xlfn.IFERROR(RIGHT(D71,LEN(D71)-FIND("*",SUBSTITUTE(D71," ","*",LEN(D71)-LEN(SUBSTITUTE(D71," ",""))))),D71)</f>
        <v>кмс</v>
      </c>
      <c r="L71" s="263" t="str">
        <f>_xlfn.IFERROR(LEFT(F71,FIND(",",F71)-1),F71)</f>
        <v>Московская</v>
      </c>
      <c r="M71" s="12"/>
      <c r="N71" s="191"/>
      <c r="O71" s="192"/>
      <c r="P71" s="192"/>
      <c r="Q71" s="193"/>
      <c r="R71" s="193"/>
      <c r="S71" s="12">
        <f>SUM(O7:R70)</f>
        <v>134</v>
      </c>
      <c r="T71" s="12"/>
      <c r="U71" s="12"/>
      <c r="V71" s="12"/>
      <c r="W71" s="12"/>
      <c r="X71" s="12"/>
      <c r="Y71" s="12">
        <f>SUM(U7:X70)</f>
        <v>134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8" ht="12.75" customHeight="1">
      <c r="A72" s="311"/>
      <c r="B72" s="312"/>
      <c r="C72" s="313"/>
      <c r="D72" s="285"/>
      <c r="E72" s="322"/>
      <c r="F72" s="304"/>
      <c r="G72" s="320"/>
      <c r="H72" s="313"/>
      <c r="J72" s="261"/>
      <c r="K72" s="262"/>
      <c r="L72" s="264"/>
      <c r="M72" s="12"/>
      <c r="N72" s="191"/>
      <c r="O72" s="192"/>
      <c r="P72" s="192"/>
      <c r="Q72" s="193"/>
      <c r="R72" s="193"/>
    </row>
    <row r="73" spans="1:18" ht="12.75" customHeight="1">
      <c r="A73" s="314">
        <v>34</v>
      </c>
      <c r="B73" s="314">
        <v>34</v>
      </c>
      <c r="C73" s="305" t="s">
        <v>275</v>
      </c>
      <c r="D73" s="288" t="s">
        <v>155</v>
      </c>
      <c r="E73" s="306" t="s">
        <v>156</v>
      </c>
      <c r="F73" s="304" t="s">
        <v>157</v>
      </c>
      <c r="G73" s="288"/>
      <c r="H73" s="305" t="s">
        <v>158</v>
      </c>
      <c r="J73" s="261">
        <v>1</v>
      </c>
      <c r="K73" s="262" t="str">
        <f>_xlfn.IFERROR(RIGHT(D73,LEN(D73)-FIND("*",SUBSTITUTE(D73," ","*",LEN(D73)-LEN(SUBSTITUTE(D73," ",""))))),D73)</f>
        <v>кмс</v>
      </c>
      <c r="L73" s="263" t="str">
        <f>_xlfn.IFERROR(LEFT(F73,FIND(",",F73)-1),F73)</f>
        <v>Калининградская  Д</v>
      </c>
      <c r="M73" s="12"/>
      <c r="N73" s="191"/>
      <c r="O73" s="192"/>
      <c r="P73" s="192"/>
      <c r="Q73" s="193"/>
      <c r="R73" s="193"/>
    </row>
    <row r="74" spans="1:18" ht="12.75" customHeight="1">
      <c r="A74" s="315"/>
      <c r="B74" s="314"/>
      <c r="C74" s="305"/>
      <c r="D74" s="288"/>
      <c r="E74" s="307"/>
      <c r="F74" s="304"/>
      <c r="G74" s="288"/>
      <c r="H74" s="305"/>
      <c r="J74" s="261"/>
      <c r="K74" s="262"/>
      <c r="L74" s="264"/>
      <c r="M74" s="12"/>
      <c r="N74" s="191"/>
      <c r="O74" s="192"/>
      <c r="P74" s="192"/>
      <c r="Q74" s="193"/>
      <c r="R74" s="193"/>
    </row>
    <row r="75" spans="1:18" ht="12.75" customHeight="1">
      <c r="A75" s="310">
        <v>35</v>
      </c>
      <c r="B75" s="312">
        <v>35</v>
      </c>
      <c r="C75" s="305" t="s">
        <v>159</v>
      </c>
      <c r="D75" s="288" t="s">
        <v>160</v>
      </c>
      <c r="E75" s="306" t="s">
        <v>161</v>
      </c>
      <c r="F75" s="304" t="s">
        <v>162</v>
      </c>
      <c r="G75" s="288"/>
      <c r="H75" s="305" t="s">
        <v>163</v>
      </c>
      <c r="J75" s="261">
        <v>1</v>
      </c>
      <c r="K75" s="262" t="str">
        <f>_xlfn.IFERROR(RIGHT(D75,LEN(D75)-FIND("*",SUBSTITUTE(D75," ","*",LEN(D75)-LEN(SUBSTITUTE(D75," ",""))))),D75)</f>
        <v>КМС</v>
      </c>
      <c r="L75" s="263" t="str">
        <f>_xlfn.IFERROR(LEFT(F75,FIND(",",F75)-1),F75)</f>
        <v>КЧР</v>
      </c>
      <c r="M75" s="12"/>
      <c r="N75" s="191"/>
      <c r="O75" s="192"/>
      <c r="P75" s="192"/>
      <c r="Q75" s="193"/>
      <c r="R75" s="193"/>
    </row>
    <row r="76" spans="1:18" ht="12.75" customHeight="1">
      <c r="A76" s="311"/>
      <c r="B76" s="312"/>
      <c r="C76" s="305"/>
      <c r="D76" s="288"/>
      <c r="E76" s="307"/>
      <c r="F76" s="304"/>
      <c r="G76" s="288"/>
      <c r="H76" s="305"/>
      <c r="J76" s="261"/>
      <c r="K76" s="262"/>
      <c r="L76" s="264"/>
      <c r="M76" s="12"/>
      <c r="N76" s="191"/>
      <c r="O76" s="192"/>
      <c r="P76" s="192"/>
      <c r="Q76" s="193"/>
      <c r="R76" s="193"/>
    </row>
    <row r="77" spans="1:18" ht="12.75" customHeight="1">
      <c r="A77" s="314">
        <v>36</v>
      </c>
      <c r="B77" s="312">
        <v>36</v>
      </c>
      <c r="C77" s="313" t="s">
        <v>296</v>
      </c>
      <c r="D77" s="285" t="s">
        <v>297</v>
      </c>
      <c r="E77" s="334" t="s">
        <v>112</v>
      </c>
      <c r="F77" s="319" t="s">
        <v>298</v>
      </c>
      <c r="G77" s="320"/>
      <c r="H77" s="313" t="s">
        <v>299</v>
      </c>
      <c r="J77" s="261">
        <v>1</v>
      </c>
      <c r="K77" s="262" t="str">
        <f>_xlfn.IFERROR(RIGHT(D77,LEN(D77)-FIND("*",SUBSTITUTE(D77," ","*",LEN(D77)-LEN(SUBSTITUTE(D77," ",""))))),D77)</f>
        <v>МС</v>
      </c>
      <c r="L77" s="263" t="str">
        <f>_xlfn.IFERROR(LEFT(F77,FIND(",",F77)-1),F77)</f>
        <v>Москва</v>
      </c>
      <c r="M77" s="12"/>
      <c r="N77" s="191"/>
      <c r="O77" s="192"/>
      <c r="P77" s="192"/>
      <c r="Q77" s="193"/>
      <c r="R77" s="193"/>
    </row>
    <row r="78" spans="1:18" ht="12.75" customHeight="1">
      <c r="A78" s="315"/>
      <c r="B78" s="312"/>
      <c r="C78" s="313"/>
      <c r="D78" s="285"/>
      <c r="E78" s="335"/>
      <c r="F78" s="319"/>
      <c r="G78" s="320"/>
      <c r="H78" s="313"/>
      <c r="J78" s="261"/>
      <c r="K78" s="262"/>
      <c r="L78" s="264"/>
      <c r="M78" s="12"/>
      <c r="N78" s="191"/>
      <c r="O78" s="192"/>
      <c r="P78" s="192"/>
      <c r="Q78" s="193"/>
      <c r="R78" s="193"/>
    </row>
    <row r="79" spans="1:18" ht="12.75" customHeight="1">
      <c r="A79" s="310">
        <v>37</v>
      </c>
      <c r="B79" s="312">
        <v>37</v>
      </c>
      <c r="C79" s="313" t="s">
        <v>223</v>
      </c>
      <c r="D79" s="285" t="s">
        <v>224</v>
      </c>
      <c r="E79" s="306" t="s">
        <v>225</v>
      </c>
      <c r="F79" s="324" t="s">
        <v>226</v>
      </c>
      <c r="G79" s="320"/>
      <c r="H79" s="313" t="s">
        <v>227</v>
      </c>
      <c r="J79" s="261">
        <v>1</v>
      </c>
      <c r="K79" s="262" t="str">
        <f>_xlfn.IFERROR(RIGHT(D79,LEN(D79)-FIND("*",SUBSTITUTE(D79," ","*",LEN(D79)-LEN(SUBSTITUTE(D79," ",""))))),D79)</f>
        <v>КМС</v>
      </c>
      <c r="L79" s="263" t="str">
        <f>_xlfn.IFERROR(LEFT(F79,FIND(",",F79)-1),F79)</f>
        <v>Ивановская</v>
      </c>
      <c r="M79" s="12"/>
      <c r="N79" s="191"/>
      <c r="O79" s="192"/>
      <c r="P79" s="192"/>
      <c r="Q79" s="193"/>
      <c r="R79" s="193"/>
    </row>
    <row r="80" spans="1:18" ht="12.75" customHeight="1">
      <c r="A80" s="311"/>
      <c r="B80" s="312"/>
      <c r="C80" s="313"/>
      <c r="D80" s="285"/>
      <c r="E80" s="307"/>
      <c r="F80" s="324"/>
      <c r="G80" s="320"/>
      <c r="H80" s="313"/>
      <c r="J80" s="261"/>
      <c r="K80" s="262"/>
      <c r="L80" s="264"/>
      <c r="M80" s="12"/>
      <c r="N80" s="191"/>
      <c r="O80" s="192"/>
      <c r="P80" s="192"/>
      <c r="Q80" s="193"/>
      <c r="R80" s="193"/>
    </row>
    <row r="81" spans="1:18" ht="12.75" customHeight="1">
      <c r="A81" s="314">
        <v>38</v>
      </c>
      <c r="B81" s="316">
        <v>38</v>
      </c>
      <c r="C81" s="313" t="s">
        <v>187</v>
      </c>
      <c r="D81" s="285" t="s">
        <v>188</v>
      </c>
      <c r="E81" s="306" t="s">
        <v>189</v>
      </c>
      <c r="F81" s="319" t="s">
        <v>190</v>
      </c>
      <c r="G81" s="320" t="s">
        <v>191</v>
      </c>
      <c r="H81" s="313" t="s">
        <v>192</v>
      </c>
      <c r="J81" s="261">
        <v>1</v>
      </c>
      <c r="K81" s="262" t="str">
        <f>_xlfn.IFERROR(RIGHT(D81,LEN(D81)-FIND("*",SUBSTITUTE(D81," ","*",LEN(D81)-LEN(SUBSTITUTE(D81," ",""))))),D81)</f>
        <v>МС</v>
      </c>
      <c r="L81" s="263" t="str">
        <f>_xlfn.IFERROR(LEFT(F81,FIND(",",F81)-1),F81)</f>
        <v>Омская</v>
      </c>
      <c r="M81" s="12"/>
      <c r="N81" s="191"/>
      <c r="O81" s="192"/>
      <c r="P81" s="192"/>
      <c r="Q81" s="193"/>
      <c r="R81" s="193"/>
    </row>
    <row r="82" spans="1:18" ht="12.75" customHeight="1">
      <c r="A82" s="315"/>
      <c r="B82" s="316"/>
      <c r="C82" s="313"/>
      <c r="D82" s="285"/>
      <c r="E82" s="307"/>
      <c r="F82" s="319"/>
      <c r="G82" s="320"/>
      <c r="H82" s="313"/>
      <c r="J82" s="261"/>
      <c r="K82" s="262"/>
      <c r="L82" s="264"/>
      <c r="M82" s="12"/>
      <c r="N82" s="191"/>
      <c r="O82" s="192"/>
      <c r="P82" s="192"/>
      <c r="Q82" s="193"/>
      <c r="R82" s="193"/>
    </row>
    <row r="83" spans="1:18" ht="12.75" customHeight="1">
      <c r="A83" s="310">
        <v>39</v>
      </c>
      <c r="B83" s="316">
        <v>39</v>
      </c>
      <c r="C83" s="313" t="s">
        <v>267</v>
      </c>
      <c r="D83" s="285" t="s">
        <v>100</v>
      </c>
      <c r="E83" s="321" t="s">
        <v>93</v>
      </c>
      <c r="F83" s="304" t="s">
        <v>101</v>
      </c>
      <c r="G83" s="320"/>
      <c r="H83" s="313" t="s">
        <v>102</v>
      </c>
      <c r="J83" s="261">
        <v>1</v>
      </c>
      <c r="K83" s="262" t="str">
        <f>_xlfn.IFERROR(RIGHT(D83,LEN(D83)-FIND("*",SUBSTITUTE(D83," ","*",LEN(D83)-LEN(SUBSTITUTE(D83," ",""))))),D83)</f>
        <v>мс</v>
      </c>
      <c r="L83" s="263" t="str">
        <f>_xlfn.IFERROR(LEFT(F83,FIND(",",F83)-1),F83)</f>
        <v>Приморский</v>
      </c>
      <c r="M83" s="12"/>
      <c r="N83" s="191"/>
      <c r="O83" s="192"/>
      <c r="P83" s="192"/>
      <c r="Q83" s="193"/>
      <c r="R83" s="193"/>
    </row>
    <row r="84" spans="1:18" ht="12.75" customHeight="1">
      <c r="A84" s="311"/>
      <c r="B84" s="316"/>
      <c r="C84" s="313"/>
      <c r="D84" s="285"/>
      <c r="E84" s="322"/>
      <c r="F84" s="304"/>
      <c r="G84" s="320"/>
      <c r="H84" s="313"/>
      <c r="J84" s="261"/>
      <c r="K84" s="262"/>
      <c r="L84" s="264"/>
      <c r="M84" s="12"/>
      <c r="N84" s="191"/>
      <c r="O84" s="192"/>
      <c r="P84" s="192"/>
      <c r="Q84" s="193"/>
      <c r="R84" s="193"/>
    </row>
    <row r="85" spans="1:18" ht="12.75" customHeight="1">
      <c r="A85" s="314">
        <v>40</v>
      </c>
      <c r="B85" s="312">
        <v>40</v>
      </c>
      <c r="C85" s="313" t="s">
        <v>236</v>
      </c>
      <c r="D85" s="317" t="s">
        <v>237</v>
      </c>
      <c r="E85" s="306" t="s">
        <v>225</v>
      </c>
      <c r="F85" s="304" t="s">
        <v>238</v>
      </c>
      <c r="G85" s="330"/>
      <c r="H85" s="305" t="s">
        <v>239</v>
      </c>
      <c r="J85" s="261">
        <v>1</v>
      </c>
      <c r="K85" s="262" t="str">
        <f>_xlfn.IFERROR(RIGHT(D85,LEN(D85)-FIND("*",SUBSTITUTE(D85," ","*",LEN(D85)-LEN(SUBSTITUTE(D85," ",""))))),D85)</f>
        <v>МСМК</v>
      </c>
      <c r="L85" s="263" t="str">
        <f>_xlfn.IFERROR(LEFT(F85,FIND(",",F85)-1),F85)</f>
        <v>Рязанская</v>
      </c>
      <c r="M85" s="12"/>
      <c r="N85" s="191"/>
      <c r="O85" s="192"/>
      <c r="P85" s="192"/>
      <c r="Q85" s="193"/>
      <c r="R85" s="193"/>
    </row>
    <row r="86" spans="1:18" ht="12.75" customHeight="1">
      <c r="A86" s="315"/>
      <c r="B86" s="312"/>
      <c r="C86" s="333"/>
      <c r="D86" s="333"/>
      <c r="E86" s="307"/>
      <c r="F86" s="304"/>
      <c r="G86" s="330"/>
      <c r="H86" s="305"/>
      <c r="J86" s="261"/>
      <c r="K86" s="262"/>
      <c r="L86" s="264"/>
      <c r="M86" s="12"/>
      <c r="N86" s="191"/>
      <c r="O86" s="192"/>
      <c r="P86" s="192"/>
      <c r="Q86" s="193"/>
      <c r="R86" s="193"/>
    </row>
    <row r="87" spans="1:18" ht="12.75" customHeight="1">
      <c r="A87" s="310">
        <v>41</v>
      </c>
      <c r="B87" s="289">
        <v>41</v>
      </c>
      <c r="C87" s="313" t="s">
        <v>270</v>
      </c>
      <c r="D87" s="285" t="s">
        <v>145</v>
      </c>
      <c r="E87" s="321" t="s">
        <v>134</v>
      </c>
      <c r="F87" s="304" t="s">
        <v>143</v>
      </c>
      <c r="G87" s="320"/>
      <c r="H87" s="313" t="s">
        <v>146</v>
      </c>
      <c r="J87" s="261">
        <v>1</v>
      </c>
      <c r="K87" s="262" t="str">
        <f>_xlfn.IFERROR(RIGHT(D87,LEN(D87)-FIND("*",SUBSTITUTE(D87," ","*",LEN(D87)-LEN(SUBSTITUTE(D87," ",""))))),D87)</f>
        <v>мсмк</v>
      </c>
      <c r="L87" s="263" t="str">
        <f>_xlfn.IFERROR(LEFT(F87,FIND(",",F87)-1),F87)</f>
        <v>Пензенская</v>
      </c>
      <c r="M87" s="12"/>
      <c r="N87" s="191"/>
      <c r="O87" s="192"/>
      <c r="P87" s="192"/>
      <c r="Q87" s="193"/>
      <c r="R87" s="193"/>
    </row>
    <row r="88" spans="1:18" ht="12.75" customHeight="1">
      <c r="A88" s="311"/>
      <c r="B88" s="289"/>
      <c r="C88" s="313"/>
      <c r="D88" s="285"/>
      <c r="E88" s="322"/>
      <c r="F88" s="304"/>
      <c r="G88" s="320"/>
      <c r="H88" s="313"/>
      <c r="J88" s="261"/>
      <c r="K88" s="262"/>
      <c r="L88" s="264"/>
      <c r="M88" s="12"/>
      <c r="N88" s="191"/>
      <c r="O88" s="192"/>
      <c r="P88" s="192"/>
      <c r="Q88" s="193"/>
      <c r="R88" s="193"/>
    </row>
    <row r="89" spans="1:18" ht="12.75" customHeight="1">
      <c r="A89" s="314">
        <v>42</v>
      </c>
      <c r="B89" s="312">
        <v>42</v>
      </c>
      <c r="C89" s="313" t="s">
        <v>276</v>
      </c>
      <c r="D89" s="285" t="s">
        <v>244</v>
      </c>
      <c r="E89" s="321" t="s">
        <v>225</v>
      </c>
      <c r="F89" s="331" t="s">
        <v>245</v>
      </c>
      <c r="G89" s="332"/>
      <c r="H89" s="313" t="s">
        <v>246</v>
      </c>
      <c r="J89" s="261">
        <v>1</v>
      </c>
      <c r="K89" s="262" t="str">
        <f>_xlfn.IFERROR(RIGHT(D89,LEN(D89)-FIND("*",SUBSTITUTE(D89," ","*",LEN(D89)-LEN(SUBSTITUTE(D89," ",""))))),D89)</f>
        <v>МС</v>
      </c>
      <c r="L89" s="263" t="str">
        <f>_xlfn.IFERROR(LEFT(F89,FIND(",",F89)-1),F89)</f>
        <v>Ярославская</v>
      </c>
      <c r="M89" s="12"/>
      <c r="N89" s="191"/>
      <c r="O89" s="192"/>
      <c r="P89" s="192"/>
      <c r="Q89" s="193"/>
      <c r="R89" s="193"/>
    </row>
    <row r="90" spans="1:18" ht="12.75" customHeight="1">
      <c r="A90" s="315"/>
      <c r="B90" s="312"/>
      <c r="C90" s="313"/>
      <c r="D90" s="285"/>
      <c r="E90" s="322"/>
      <c r="F90" s="331"/>
      <c r="G90" s="332"/>
      <c r="H90" s="313"/>
      <c r="J90" s="261"/>
      <c r="K90" s="262"/>
      <c r="L90" s="264"/>
      <c r="M90" s="12"/>
      <c r="N90" s="191"/>
      <c r="O90" s="192"/>
      <c r="P90" s="192"/>
      <c r="Q90" s="193"/>
      <c r="R90" s="193"/>
    </row>
    <row r="91" spans="1:18" ht="12.75" customHeight="1">
      <c r="A91" s="310">
        <v>43</v>
      </c>
      <c r="B91" s="289">
        <v>43</v>
      </c>
      <c r="C91" s="313" t="s">
        <v>128</v>
      </c>
      <c r="D91" s="317" t="s">
        <v>129</v>
      </c>
      <c r="E91" s="321" t="s">
        <v>112</v>
      </c>
      <c r="F91" s="324" t="s">
        <v>118</v>
      </c>
      <c r="G91" s="320"/>
      <c r="H91" s="313" t="s">
        <v>130</v>
      </c>
      <c r="J91" s="261">
        <v>1</v>
      </c>
      <c r="K91" s="262" t="str">
        <f>_xlfn.IFERROR(RIGHT(D91,LEN(D91)-FIND("*",SUBSTITUTE(D91," ","*",LEN(D91)-LEN(SUBSTITUTE(D91," ",""))))),D91)</f>
        <v>МСМК</v>
      </c>
      <c r="L91" s="263" t="str">
        <f>_xlfn.IFERROR(LEFT(F91,FIND(",",F91)-1),F91)</f>
        <v>Москва</v>
      </c>
      <c r="M91" s="12"/>
      <c r="N91" s="191"/>
      <c r="O91" s="192"/>
      <c r="P91" s="192"/>
      <c r="Q91" s="193"/>
      <c r="R91" s="193"/>
    </row>
    <row r="92" spans="1:18" ht="12.75" customHeight="1">
      <c r="A92" s="311"/>
      <c r="B92" s="289"/>
      <c r="C92" s="313"/>
      <c r="D92" s="285"/>
      <c r="E92" s="322"/>
      <c r="F92" s="324"/>
      <c r="G92" s="320"/>
      <c r="H92" s="313"/>
      <c r="J92" s="261"/>
      <c r="K92" s="262"/>
      <c r="L92" s="264"/>
      <c r="M92" s="12"/>
      <c r="N92" s="191"/>
      <c r="O92" s="192"/>
      <c r="P92" s="192"/>
      <c r="Q92" s="193"/>
      <c r="R92" s="193"/>
    </row>
    <row r="93" spans="1:18" ht="12.75" customHeight="1">
      <c r="A93" s="314">
        <v>44</v>
      </c>
      <c r="B93" s="312">
        <v>44</v>
      </c>
      <c r="C93" s="313" t="s">
        <v>277</v>
      </c>
      <c r="D93" s="285" t="s">
        <v>250</v>
      </c>
      <c r="E93" s="321" t="s">
        <v>225</v>
      </c>
      <c r="F93" s="304" t="s">
        <v>251</v>
      </c>
      <c r="G93" s="320"/>
      <c r="H93" s="313" t="s">
        <v>252</v>
      </c>
      <c r="J93" s="261">
        <v>1</v>
      </c>
      <c r="K93" s="262" t="str">
        <f>_xlfn.IFERROR(RIGHT(D93,LEN(D93)-FIND("*",SUBSTITUTE(D93," ","*",LEN(D93)-LEN(SUBSTITUTE(D93," ",""))))),D93)</f>
        <v>мс</v>
      </c>
      <c r="L93" s="263" t="str">
        <f>_xlfn.IFERROR(LEFT(F93,FIND(",",F93)-1),F93)</f>
        <v>Московская</v>
      </c>
      <c r="M93" s="12"/>
      <c r="N93" s="191"/>
      <c r="O93" s="192"/>
      <c r="P93" s="192"/>
      <c r="Q93" s="193"/>
      <c r="R93" s="193"/>
    </row>
    <row r="94" spans="1:18" ht="12.75" customHeight="1">
      <c r="A94" s="315"/>
      <c r="B94" s="312"/>
      <c r="C94" s="313"/>
      <c r="D94" s="285"/>
      <c r="E94" s="322"/>
      <c r="F94" s="304"/>
      <c r="G94" s="320"/>
      <c r="H94" s="313"/>
      <c r="J94" s="261"/>
      <c r="K94" s="262"/>
      <c r="L94" s="264"/>
      <c r="M94" s="12"/>
      <c r="N94" s="191"/>
      <c r="O94" s="192"/>
      <c r="P94" s="192"/>
      <c r="Q94" s="193"/>
      <c r="R94" s="193"/>
    </row>
    <row r="95" spans="1:18" ht="12.75" customHeight="1">
      <c r="A95" s="310">
        <v>45</v>
      </c>
      <c r="B95" s="289">
        <v>45</v>
      </c>
      <c r="C95" s="313" t="s">
        <v>137</v>
      </c>
      <c r="D95" s="285" t="s">
        <v>138</v>
      </c>
      <c r="E95" s="306" t="s">
        <v>134</v>
      </c>
      <c r="F95" s="304" t="s">
        <v>139</v>
      </c>
      <c r="G95" s="330"/>
      <c r="H95" s="305" t="s">
        <v>140</v>
      </c>
      <c r="J95" s="261">
        <v>1</v>
      </c>
      <c r="K95" s="262" t="str">
        <f>_xlfn.IFERROR(RIGHT(D95,LEN(D95)-FIND("*",SUBSTITUTE(D95," ","*",LEN(D95)-LEN(SUBSTITUTE(D95," ",""))))),D95)</f>
        <v>МС</v>
      </c>
      <c r="L95" s="263" t="str">
        <f>_xlfn.IFERROR(LEFT(F95,FIND(",",F95)-1),F95)</f>
        <v>Саратовская</v>
      </c>
      <c r="M95" s="12"/>
      <c r="N95" s="191"/>
      <c r="O95" s="192"/>
      <c r="P95" s="192"/>
      <c r="Q95" s="193"/>
      <c r="R95" s="193"/>
    </row>
    <row r="96" spans="1:18" ht="12.75" customHeight="1">
      <c r="A96" s="311"/>
      <c r="B96" s="289"/>
      <c r="C96" s="313"/>
      <c r="D96" s="285"/>
      <c r="E96" s="307"/>
      <c r="F96" s="304"/>
      <c r="G96" s="330"/>
      <c r="H96" s="305"/>
      <c r="J96" s="261"/>
      <c r="K96" s="262"/>
      <c r="L96" s="264"/>
      <c r="M96" s="12"/>
      <c r="N96" s="191"/>
      <c r="O96" s="192"/>
      <c r="P96" s="192"/>
      <c r="Q96" s="193"/>
      <c r="R96" s="193"/>
    </row>
    <row r="97" spans="1:18" ht="12.75" customHeight="1">
      <c r="A97" s="314">
        <v>46</v>
      </c>
      <c r="B97" s="314">
        <v>46</v>
      </c>
      <c r="C97" s="313" t="s">
        <v>120</v>
      </c>
      <c r="D97" s="317" t="s">
        <v>121</v>
      </c>
      <c r="E97" s="321" t="s">
        <v>112</v>
      </c>
      <c r="F97" s="324" t="s">
        <v>118</v>
      </c>
      <c r="G97" s="320"/>
      <c r="H97" s="313" t="s">
        <v>122</v>
      </c>
      <c r="J97" s="261">
        <v>1</v>
      </c>
      <c r="K97" s="262" t="str">
        <f>_xlfn.IFERROR(RIGHT(D97,LEN(D97)-FIND("*",SUBSTITUTE(D97," ","*",LEN(D97)-LEN(SUBSTITUTE(D97," ",""))))),D97)</f>
        <v>МС</v>
      </c>
      <c r="L97" s="263" t="str">
        <f>_xlfn.IFERROR(LEFT(F97,FIND(",",F97)-1),F97)</f>
        <v>Москва</v>
      </c>
      <c r="M97" s="12"/>
      <c r="N97" s="191"/>
      <c r="O97" s="192"/>
      <c r="P97" s="192"/>
      <c r="Q97" s="193"/>
      <c r="R97" s="193"/>
    </row>
    <row r="98" spans="1:18" ht="12.75" customHeight="1">
      <c r="A98" s="315"/>
      <c r="B98" s="314"/>
      <c r="C98" s="313"/>
      <c r="D98" s="285"/>
      <c r="E98" s="322"/>
      <c r="F98" s="324"/>
      <c r="G98" s="320"/>
      <c r="H98" s="313"/>
      <c r="J98" s="261"/>
      <c r="K98" s="262"/>
      <c r="L98" s="264"/>
      <c r="M98" s="12"/>
      <c r="N98" s="191"/>
      <c r="O98" s="192"/>
      <c r="P98" s="192"/>
      <c r="Q98" s="193"/>
      <c r="R98" s="193"/>
    </row>
    <row r="99" spans="1:18" ht="12.75" customHeight="1">
      <c r="A99" s="310">
        <v>47</v>
      </c>
      <c r="B99" s="312">
        <v>47</v>
      </c>
      <c r="C99" s="305" t="s">
        <v>228</v>
      </c>
      <c r="D99" s="288" t="s">
        <v>229</v>
      </c>
      <c r="E99" s="306" t="s">
        <v>225</v>
      </c>
      <c r="F99" s="304" t="s">
        <v>230</v>
      </c>
      <c r="G99" s="288" t="s">
        <v>114</v>
      </c>
      <c r="H99" s="305" t="s">
        <v>231</v>
      </c>
      <c r="J99" s="261">
        <v>1</v>
      </c>
      <c r="K99" s="262" t="str">
        <f>_xlfn.IFERROR(RIGHT(D99,LEN(D99)-FIND("*",SUBSTITUTE(D99," ","*",LEN(D99)-LEN(SUBSTITUTE(D99," ",""))))),D99)</f>
        <v>мсмк</v>
      </c>
      <c r="L99" s="263" t="str">
        <f>_xlfn.IFERROR(LEFT(F99,FIND(",",F99)-1),F99)</f>
        <v>Брянская Брянск Д</v>
      </c>
      <c r="M99" s="12"/>
      <c r="N99" s="191"/>
      <c r="O99" s="192"/>
      <c r="P99" s="192"/>
      <c r="Q99" s="193"/>
      <c r="R99" s="193"/>
    </row>
    <row r="100" spans="1:18" ht="12.75" customHeight="1">
      <c r="A100" s="311"/>
      <c r="B100" s="312"/>
      <c r="C100" s="305"/>
      <c r="D100" s="288"/>
      <c r="E100" s="307"/>
      <c r="F100" s="304"/>
      <c r="G100" s="288"/>
      <c r="H100" s="305"/>
      <c r="J100" s="261"/>
      <c r="K100" s="262"/>
      <c r="L100" s="264"/>
      <c r="M100" s="12"/>
      <c r="N100" s="191"/>
      <c r="O100" s="192"/>
      <c r="P100" s="192"/>
      <c r="Q100" s="193"/>
      <c r="R100" s="193"/>
    </row>
    <row r="101" spans="1:18" ht="12.75" customHeight="1">
      <c r="A101" s="314">
        <v>48</v>
      </c>
      <c r="B101" s="312">
        <v>48</v>
      </c>
      <c r="C101" s="326" t="s">
        <v>123</v>
      </c>
      <c r="D101" s="327" t="s">
        <v>124</v>
      </c>
      <c r="E101" s="321" t="s">
        <v>112</v>
      </c>
      <c r="F101" s="324" t="s">
        <v>118</v>
      </c>
      <c r="G101" s="328"/>
      <c r="H101" s="329" t="s">
        <v>119</v>
      </c>
      <c r="J101" s="261">
        <v>1</v>
      </c>
      <c r="K101" s="262" t="str">
        <f>_xlfn.IFERROR(RIGHT(D101,LEN(D101)-FIND("*",SUBSTITUTE(D101," ","*",LEN(D101)-LEN(SUBSTITUTE(D101," ",""))))),D101)</f>
        <v>МСМК</v>
      </c>
      <c r="L101" s="263" t="str">
        <f>_xlfn.IFERROR(LEFT(F101,FIND(",",F101)-1),F101)</f>
        <v>Москва</v>
      </c>
      <c r="M101" s="12"/>
      <c r="N101" s="191"/>
      <c r="O101" s="192"/>
      <c r="P101" s="192"/>
      <c r="Q101" s="193"/>
      <c r="R101" s="193"/>
    </row>
    <row r="102" spans="1:18" ht="12.75" customHeight="1">
      <c r="A102" s="315"/>
      <c r="B102" s="312"/>
      <c r="C102" s="326"/>
      <c r="D102" s="327"/>
      <c r="E102" s="322"/>
      <c r="F102" s="324"/>
      <c r="G102" s="328"/>
      <c r="H102" s="329"/>
      <c r="J102" s="261"/>
      <c r="K102" s="262"/>
      <c r="L102" s="264"/>
      <c r="M102" s="12"/>
      <c r="N102" s="191"/>
      <c r="O102" s="192"/>
      <c r="P102" s="192"/>
      <c r="Q102" s="193"/>
      <c r="R102" s="193"/>
    </row>
    <row r="103" spans="1:18" ht="12.75" customHeight="1">
      <c r="A103" s="310">
        <v>49</v>
      </c>
      <c r="B103" s="289">
        <v>49</v>
      </c>
      <c r="C103" s="318" t="s">
        <v>172</v>
      </c>
      <c r="D103" s="302" t="s">
        <v>173</v>
      </c>
      <c r="E103" s="306" t="s">
        <v>161</v>
      </c>
      <c r="F103" s="304" t="s">
        <v>166</v>
      </c>
      <c r="G103" s="302"/>
      <c r="H103" s="318" t="s">
        <v>174</v>
      </c>
      <c r="J103" s="261">
        <v>1</v>
      </c>
      <c r="K103" s="262" t="str">
        <f>_xlfn.IFERROR(RIGHT(D103,LEN(D103)-FIND("*",SUBSTITUTE(D103," ","*",LEN(D103)-LEN(SUBSTITUTE(D103," ",""))))),D103)</f>
        <v>МС</v>
      </c>
      <c r="L103" s="263" t="str">
        <f>_xlfn.IFERROR(LEFT(F103,FIND(",",F103)-1),F103)</f>
        <v>Ставропольский</v>
      </c>
      <c r="M103" s="12"/>
      <c r="N103" s="191"/>
      <c r="O103" s="192"/>
      <c r="P103" s="192"/>
      <c r="Q103" s="193"/>
      <c r="R103" s="193"/>
    </row>
    <row r="104" spans="1:13" ht="12.75" customHeight="1">
      <c r="A104" s="311"/>
      <c r="B104" s="289"/>
      <c r="C104" s="318"/>
      <c r="D104" s="302"/>
      <c r="E104" s="307"/>
      <c r="F104" s="304"/>
      <c r="G104" s="302"/>
      <c r="H104" s="318"/>
      <c r="J104" s="261"/>
      <c r="K104" s="262"/>
      <c r="L104" s="264"/>
      <c r="M104" s="12"/>
    </row>
    <row r="105" spans="1:13" ht="12.75" customHeight="1">
      <c r="A105" s="314">
        <v>50</v>
      </c>
      <c r="B105" s="289">
        <v>50</v>
      </c>
      <c r="C105" s="313" t="s">
        <v>125</v>
      </c>
      <c r="D105" s="323" t="s">
        <v>126</v>
      </c>
      <c r="E105" s="321" t="s">
        <v>112</v>
      </c>
      <c r="F105" s="324" t="s">
        <v>127</v>
      </c>
      <c r="G105" s="325"/>
      <c r="H105" s="313" t="s">
        <v>119</v>
      </c>
      <c r="J105" s="261">
        <v>1</v>
      </c>
      <c r="K105" s="262" t="str">
        <f>_xlfn.IFERROR(RIGHT(D105,LEN(D105)-FIND("*",SUBSTITUTE(D105," ","*",LEN(D105)-LEN(SUBSTITUTE(D105," ",""))))),D105)</f>
        <v>ЗМС</v>
      </c>
      <c r="L105" s="263" t="str">
        <f>_xlfn.IFERROR(LEFT(F105,FIND(",",F105)-1),F105)</f>
        <v>Москва</v>
      </c>
      <c r="M105" s="12"/>
    </row>
    <row r="106" spans="1:13" ht="12.75" customHeight="1">
      <c r="A106" s="315"/>
      <c r="B106" s="289"/>
      <c r="C106" s="313"/>
      <c r="D106" s="323"/>
      <c r="E106" s="322"/>
      <c r="F106" s="324"/>
      <c r="G106" s="325"/>
      <c r="H106" s="313"/>
      <c r="J106" s="261"/>
      <c r="K106" s="262"/>
      <c r="L106" s="264"/>
      <c r="M106" s="12"/>
    </row>
    <row r="107" spans="1:13" ht="12.75" customHeight="1">
      <c r="A107" s="310">
        <v>51</v>
      </c>
      <c r="B107" s="316">
        <v>51</v>
      </c>
      <c r="C107" s="313" t="s">
        <v>197</v>
      </c>
      <c r="D107" s="317" t="s">
        <v>198</v>
      </c>
      <c r="E107" s="306" t="s">
        <v>189</v>
      </c>
      <c r="F107" s="319" t="s">
        <v>199</v>
      </c>
      <c r="G107" s="320" t="s">
        <v>200</v>
      </c>
      <c r="H107" s="313" t="s">
        <v>201</v>
      </c>
      <c r="J107" s="261">
        <v>1</v>
      </c>
      <c r="K107" s="262" t="str">
        <f>_xlfn.IFERROR(RIGHT(D107,LEN(D107)-FIND("*",SUBSTITUTE(D107," ","*",LEN(D107)-LEN(SUBSTITUTE(D107," ",""))))),D107)</f>
        <v>МС</v>
      </c>
      <c r="L107" s="263" t="str">
        <f>_xlfn.IFERROR(LEFT(F107,FIND(",",F107)-1),F107)</f>
        <v>Красноярский</v>
      </c>
      <c r="M107" s="12"/>
    </row>
    <row r="108" spans="1:13" ht="12.75" customHeight="1">
      <c r="A108" s="311"/>
      <c r="B108" s="316"/>
      <c r="C108" s="313"/>
      <c r="D108" s="317"/>
      <c r="E108" s="307"/>
      <c r="F108" s="319"/>
      <c r="G108" s="320"/>
      <c r="H108" s="313"/>
      <c r="J108" s="261"/>
      <c r="K108" s="262"/>
      <c r="L108" s="264"/>
      <c r="M108" s="12"/>
    </row>
    <row r="109" spans="1:13" ht="12.75" customHeight="1">
      <c r="A109" s="314">
        <v>52</v>
      </c>
      <c r="B109" s="289">
        <v>52</v>
      </c>
      <c r="C109" s="305" t="s">
        <v>259</v>
      </c>
      <c r="D109" s="288" t="s">
        <v>260</v>
      </c>
      <c r="E109" s="306" t="s">
        <v>256</v>
      </c>
      <c r="F109" s="304" t="s">
        <v>261</v>
      </c>
      <c r="G109" s="288"/>
      <c r="H109" s="305" t="s">
        <v>262</v>
      </c>
      <c r="J109" s="261">
        <v>1</v>
      </c>
      <c r="K109" s="262" t="str">
        <f>_xlfn.IFERROR(RIGHT(D109,LEN(D109)-FIND("*",SUBSTITUTE(D109," ","*",LEN(D109)-LEN(SUBSTITUTE(D109," ",""))))),D109)</f>
        <v>мс</v>
      </c>
      <c r="L109" s="263" t="str">
        <f>_xlfn.IFERROR(LEFT(F109,FIND(",",F109)-1),F109)</f>
        <v>Краснодарский край Армавир</v>
      </c>
      <c r="M109" s="12"/>
    </row>
    <row r="110" spans="1:13" ht="12.75" customHeight="1">
      <c r="A110" s="315"/>
      <c r="B110" s="289"/>
      <c r="C110" s="305"/>
      <c r="D110" s="288"/>
      <c r="E110" s="307"/>
      <c r="F110" s="304"/>
      <c r="G110" s="288"/>
      <c r="H110" s="305"/>
      <c r="J110" s="261"/>
      <c r="K110" s="262"/>
      <c r="L110" s="264"/>
      <c r="M110" s="12"/>
    </row>
    <row r="111" spans="1:13" ht="12.75" customHeight="1">
      <c r="A111" s="310">
        <v>53</v>
      </c>
      <c r="B111" s="312">
        <v>53</v>
      </c>
      <c r="C111" s="305" t="s">
        <v>281</v>
      </c>
      <c r="D111" s="288" t="s">
        <v>282</v>
      </c>
      <c r="E111" s="306" t="s">
        <v>256</v>
      </c>
      <c r="F111" s="304" t="s">
        <v>283</v>
      </c>
      <c r="G111" s="288" t="s">
        <v>114</v>
      </c>
      <c r="H111" s="305" t="s">
        <v>284</v>
      </c>
      <c r="J111" s="261">
        <v>1</v>
      </c>
      <c r="K111" s="262" t="str">
        <f>_xlfn.IFERROR(RIGHT(D111,LEN(D111)-FIND("*",SUBSTITUTE(D111," ","*",LEN(D111)-LEN(SUBSTITUTE(D111," ",""))))),D111)</f>
        <v>кмс</v>
      </c>
      <c r="L111" s="263" t="str">
        <f>_xlfn.IFERROR(LEFT(F111,FIND(",",F111)-1),F111)</f>
        <v>Краснодарский</v>
      </c>
      <c r="M111" s="12"/>
    </row>
    <row r="112" spans="1:13" ht="12.75" customHeight="1">
      <c r="A112" s="311"/>
      <c r="B112" s="312"/>
      <c r="C112" s="305"/>
      <c r="D112" s="288"/>
      <c r="E112" s="307"/>
      <c r="F112" s="304"/>
      <c r="G112" s="288"/>
      <c r="H112" s="305"/>
      <c r="J112" s="261"/>
      <c r="K112" s="262"/>
      <c r="L112" s="264"/>
      <c r="M112" s="12"/>
    </row>
    <row r="113" spans="1:13" ht="12.75" customHeight="1">
      <c r="A113" s="285">
        <v>54</v>
      </c>
      <c r="B113" s="286"/>
      <c r="C113" s="281"/>
      <c r="D113" s="283"/>
      <c r="E113" s="288"/>
      <c r="F113" s="308"/>
      <c r="G113" s="279"/>
      <c r="H113" s="281"/>
      <c r="J113" s="261">
        <v>1</v>
      </c>
      <c r="K113" s="262">
        <f>_xlfn.IFERROR(RIGHT(D113,LEN(D113)-FIND("*",SUBSTITUTE(D113," ","*",LEN(D113)-LEN(SUBSTITUTE(D113," ",""))))),D113)</f>
        <v>0</v>
      </c>
      <c r="L113" s="263">
        <f>_xlfn.IFERROR(LEFT(F113,FIND(",",F113)-1),F113)</f>
        <v>0</v>
      </c>
      <c r="M113" s="12"/>
    </row>
    <row r="114" spans="1:13" ht="12.75" customHeight="1">
      <c r="A114" s="285"/>
      <c r="B114" s="286"/>
      <c r="C114" s="282"/>
      <c r="D114" s="284"/>
      <c r="E114" s="288"/>
      <c r="F114" s="309"/>
      <c r="G114" s="280"/>
      <c r="H114" s="282"/>
      <c r="J114" s="261"/>
      <c r="K114" s="262"/>
      <c r="L114" s="264"/>
      <c r="M114" s="12"/>
    </row>
    <row r="115" spans="1:13" ht="12.75" customHeight="1">
      <c r="A115" s="285">
        <v>55</v>
      </c>
      <c r="B115" s="289"/>
      <c r="C115" s="281"/>
      <c r="D115" s="283"/>
      <c r="E115" s="302"/>
      <c r="F115" s="296"/>
      <c r="G115" s="279"/>
      <c r="H115" s="281"/>
      <c r="J115" s="261">
        <v>1</v>
      </c>
      <c r="K115" s="262">
        <f>_xlfn.IFERROR(RIGHT(D115,LEN(D115)-FIND("*",SUBSTITUTE(D115," ","*",LEN(D115)-LEN(SUBSTITUTE(D115," ",""))))),D115)</f>
        <v>0</v>
      </c>
      <c r="L115" s="263">
        <f>_xlfn.IFERROR(LEFT(F115,FIND(",",F115)-1),F115)</f>
        <v>0</v>
      </c>
      <c r="M115" s="12"/>
    </row>
    <row r="116" spans="1:13" ht="12.75" customHeight="1">
      <c r="A116" s="285"/>
      <c r="B116" s="289"/>
      <c r="C116" s="282"/>
      <c r="D116" s="284"/>
      <c r="E116" s="302"/>
      <c r="F116" s="297"/>
      <c r="G116" s="280"/>
      <c r="H116" s="282"/>
      <c r="J116" s="261"/>
      <c r="K116" s="262"/>
      <c r="L116" s="264"/>
      <c r="M116" s="12"/>
    </row>
    <row r="117" spans="1:13" ht="12.75" customHeight="1">
      <c r="A117" s="285">
        <v>56</v>
      </c>
      <c r="B117" s="286"/>
      <c r="C117" s="281"/>
      <c r="D117" s="287"/>
      <c r="E117" s="288"/>
      <c r="F117" s="281"/>
      <c r="G117" s="279"/>
      <c r="H117" s="281"/>
      <c r="J117" s="261">
        <v>1</v>
      </c>
      <c r="K117" s="262">
        <f>_xlfn.IFERROR(RIGHT(D117,LEN(D117)-FIND("*",SUBSTITUTE(D117," ","*",LEN(D117)-LEN(SUBSTITUTE(D117," ",""))))),D117)</f>
        <v>0</v>
      </c>
      <c r="L117" s="263">
        <f>_xlfn.IFERROR(LEFT(F117,FIND(",",F117)-1),F117)</f>
        <v>0</v>
      </c>
      <c r="M117" s="12"/>
    </row>
    <row r="118" spans="1:13" ht="12.75" customHeight="1">
      <c r="A118" s="285"/>
      <c r="B118" s="286"/>
      <c r="C118" s="282"/>
      <c r="D118" s="284"/>
      <c r="E118" s="288"/>
      <c r="F118" s="303"/>
      <c r="G118" s="280"/>
      <c r="H118" s="303"/>
      <c r="J118" s="261"/>
      <c r="K118" s="262"/>
      <c r="L118" s="264"/>
      <c r="M118" s="12"/>
    </row>
    <row r="119" spans="1:13" ht="12.75" customHeight="1">
      <c r="A119" s="285">
        <v>57</v>
      </c>
      <c r="B119" s="289"/>
      <c r="C119" s="281"/>
      <c r="D119" s="283"/>
      <c r="E119" s="302"/>
      <c r="F119" s="281"/>
      <c r="G119" s="279"/>
      <c r="H119" s="281"/>
      <c r="J119" s="261">
        <v>1</v>
      </c>
      <c r="K119" s="262">
        <f>_xlfn.IFERROR(RIGHT(D119,LEN(D119)-FIND("*",SUBSTITUTE(D119," ","*",LEN(D119)-LEN(SUBSTITUTE(D119," ",""))))),D119)</f>
        <v>0</v>
      </c>
      <c r="L119" s="263">
        <f>_xlfn.IFERROR(LEFT(F119,FIND(",",F119)-1),F119)</f>
        <v>0</v>
      </c>
      <c r="M119" s="12"/>
    </row>
    <row r="120" spans="1:13" ht="12.75" customHeight="1">
      <c r="A120" s="285"/>
      <c r="B120" s="289"/>
      <c r="C120" s="282"/>
      <c r="D120" s="284"/>
      <c r="E120" s="302"/>
      <c r="F120" s="282"/>
      <c r="G120" s="280"/>
      <c r="H120" s="282"/>
      <c r="J120" s="261"/>
      <c r="K120" s="262"/>
      <c r="L120" s="264"/>
      <c r="M120" s="12"/>
    </row>
    <row r="121" spans="1:13" ht="12.75" customHeight="1">
      <c r="A121" s="285">
        <v>58</v>
      </c>
      <c r="B121" s="286"/>
      <c r="C121" s="281"/>
      <c r="D121" s="283"/>
      <c r="E121" s="302"/>
      <c r="F121" s="281"/>
      <c r="G121" s="279"/>
      <c r="H121" s="281"/>
      <c r="J121" s="261">
        <v>1</v>
      </c>
      <c r="K121" s="262">
        <f>_xlfn.IFERROR(RIGHT(D121,LEN(D121)-FIND("*",SUBSTITUTE(D121," ","*",LEN(D121)-LEN(SUBSTITUTE(D121," ",""))))),D121)</f>
        <v>0</v>
      </c>
      <c r="L121" s="263">
        <f>_xlfn.IFERROR(LEFT(F121,FIND(",",F121)-1),F121)</f>
        <v>0</v>
      </c>
      <c r="M121" s="12"/>
    </row>
    <row r="122" spans="1:13" ht="12.75" customHeight="1">
      <c r="A122" s="285"/>
      <c r="B122" s="286"/>
      <c r="C122" s="282"/>
      <c r="D122" s="284"/>
      <c r="E122" s="302"/>
      <c r="F122" s="282"/>
      <c r="G122" s="280"/>
      <c r="H122" s="282"/>
      <c r="J122" s="261"/>
      <c r="K122" s="262"/>
      <c r="L122" s="264"/>
      <c r="M122" s="12"/>
    </row>
    <row r="123" spans="1:13" ht="12.75" customHeight="1">
      <c r="A123" s="285">
        <v>59</v>
      </c>
      <c r="B123" s="289"/>
      <c r="C123" s="281"/>
      <c r="D123" s="283"/>
      <c r="E123" s="302"/>
      <c r="F123" s="281"/>
      <c r="G123" s="279"/>
      <c r="H123" s="281"/>
      <c r="J123" s="261">
        <v>1</v>
      </c>
      <c r="K123" s="262">
        <f>_xlfn.IFERROR(RIGHT(D123,LEN(D123)-FIND("*",SUBSTITUTE(D123," ","*",LEN(D123)-LEN(SUBSTITUTE(D123," ",""))))),D123)</f>
        <v>0</v>
      </c>
      <c r="L123" s="263">
        <f>_xlfn.IFERROR(LEFT(F123,FIND(",",F123)-1),F123)</f>
        <v>0</v>
      </c>
      <c r="M123" s="12"/>
    </row>
    <row r="124" spans="1:13" ht="12.75" customHeight="1">
      <c r="A124" s="285"/>
      <c r="B124" s="289"/>
      <c r="C124" s="282"/>
      <c r="D124" s="284"/>
      <c r="E124" s="302"/>
      <c r="F124" s="282"/>
      <c r="G124" s="280"/>
      <c r="H124" s="282"/>
      <c r="J124" s="261"/>
      <c r="K124" s="262"/>
      <c r="L124" s="264"/>
      <c r="M124" s="12"/>
    </row>
    <row r="125" spans="1:13" ht="12.75" customHeight="1">
      <c r="A125" s="285">
        <v>60</v>
      </c>
      <c r="B125" s="286"/>
      <c r="C125" s="296"/>
      <c r="D125" s="298"/>
      <c r="E125" s="288"/>
      <c r="F125" s="277"/>
      <c r="G125" s="300"/>
      <c r="H125" s="277"/>
      <c r="J125" s="261">
        <v>1</v>
      </c>
      <c r="K125" s="262">
        <f>_xlfn.IFERROR(RIGHT(D125,LEN(D125)-FIND("*",SUBSTITUTE(D125," ","*",LEN(D125)-LEN(SUBSTITUTE(D125," ",""))))),D125)</f>
        <v>0</v>
      </c>
      <c r="L125" s="263">
        <f>_xlfn.IFERROR(LEFT(F125,FIND(",",F125)-1),F125)</f>
        <v>0</v>
      </c>
      <c r="M125" s="12"/>
    </row>
    <row r="126" spans="1:13" ht="12.75" customHeight="1">
      <c r="A126" s="285"/>
      <c r="B126" s="286"/>
      <c r="C126" s="297"/>
      <c r="D126" s="299"/>
      <c r="E126" s="288"/>
      <c r="F126" s="278"/>
      <c r="G126" s="301"/>
      <c r="H126" s="278"/>
      <c r="J126" s="261"/>
      <c r="K126" s="262"/>
      <c r="L126" s="264"/>
      <c r="M126" s="12"/>
    </row>
    <row r="127" spans="1:13" ht="12.75" customHeight="1">
      <c r="A127" s="285">
        <v>61</v>
      </c>
      <c r="B127" s="289"/>
      <c r="C127" s="292"/>
      <c r="D127" s="294"/>
      <c r="E127" s="347"/>
      <c r="F127" s="281"/>
      <c r="G127" s="290"/>
      <c r="H127" s="281"/>
      <c r="J127" s="261">
        <v>1</v>
      </c>
      <c r="K127" s="262">
        <f>_xlfn.IFERROR(RIGHT(D127,LEN(D127)-FIND("*",SUBSTITUTE(D127," ","*",LEN(D127)-LEN(SUBSTITUTE(D127," ",""))))),D127)</f>
        <v>0</v>
      </c>
      <c r="L127" s="263">
        <f>_xlfn.IFERROR(LEFT(F127,FIND(",",F127)-1),F127)</f>
        <v>0</v>
      </c>
      <c r="M127" s="12"/>
    </row>
    <row r="128" spans="1:13" ht="12.75" customHeight="1">
      <c r="A128" s="285"/>
      <c r="B128" s="289"/>
      <c r="C128" s="293"/>
      <c r="D128" s="295"/>
      <c r="E128" s="347"/>
      <c r="F128" s="282"/>
      <c r="G128" s="291"/>
      <c r="H128" s="282"/>
      <c r="J128" s="261"/>
      <c r="K128" s="262"/>
      <c r="L128" s="264"/>
      <c r="M128" s="12"/>
    </row>
    <row r="129" spans="1:13" ht="12.75" customHeight="1">
      <c r="A129" s="285">
        <v>62</v>
      </c>
      <c r="B129" s="286"/>
      <c r="C129" s="281"/>
      <c r="D129" s="283"/>
      <c r="E129" s="285"/>
      <c r="F129" s="277"/>
      <c r="G129" s="279"/>
      <c r="H129" s="281"/>
      <c r="J129" s="261">
        <v>1</v>
      </c>
      <c r="K129" s="262">
        <f>_xlfn.IFERROR(RIGHT(D129,LEN(D129)-FIND("*",SUBSTITUTE(D129," ","*",LEN(D129)-LEN(SUBSTITUTE(D129," ",""))))),D129)</f>
        <v>0</v>
      </c>
      <c r="L129" s="263">
        <f>_xlfn.IFERROR(LEFT(F129,FIND(",",F129)-1),F129)</f>
        <v>0</v>
      </c>
      <c r="M129" s="12"/>
    </row>
    <row r="130" spans="1:13" ht="12.75" customHeight="1">
      <c r="A130" s="285"/>
      <c r="B130" s="286"/>
      <c r="C130" s="282"/>
      <c r="D130" s="284"/>
      <c r="E130" s="285"/>
      <c r="F130" s="278"/>
      <c r="G130" s="280"/>
      <c r="H130" s="282"/>
      <c r="J130" s="261"/>
      <c r="K130" s="262"/>
      <c r="L130" s="264"/>
      <c r="M130" s="12"/>
    </row>
    <row r="131" spans="1:13" ht="12.75" customHeight="1">
      <c r="A131" s="285">
        <v>63</v>
      </c>
      <c r="B131" s="289"/>
      <c r="C131" s="281"/>
      <c r="D131" s="283"/>
      <c r="E131" s="288"/>
      <c r="F131" s="277"/>
      <c r="G131" s="279"/>
      <c r="H131" s="281"/>
      <c r="J131" s="261">
        <v>1</v>
      </c>
      <c r="K131" s="262">
        <f>_xlfn.IFERROR(RIGHT(D131,LEN(D131)-FIND("*",SUBSTITUTE(D131," ","*",LEN(D131)-LEN(SUBSTITUTE(D131," ",""))))),D131)</f>
        <v>0</v>
      </c>
      <c r="L131" s="263">
        <f>_xlfn.IFERROR(LEFT(F131,FIND(",",F131)-1),F131)</f>
        <v>0</v>
      </c>
      <c r="M131" s="12"/>
    </row>
    <row r="132" spans="1:13" ht="12.75">
      <c r="A132" s="285"/>
      <c r="B132" s="289"/>
      <c r="C132" s="282"/>
      <c r="D132" s="284"/>
      <c r="E132" s="288"/>
      <c r="F132" s="278"/>
      <c r="G132" s="280"/>
      <c r="H132" s="282"/>
      <c r="J132" s="261"/>
      <c r="K132" s="262"/>
      <c r="L132" s="264"/>
      <c r="M132" s="12"/>
    </row>
    <row r="133" spans="1:13" ht="12.75" customHeight="1">
      <c r="A133" s="285">
        <v>64</v>
      </c>
      <c r="B133" s="286"/>
      <c r="C133" s="281"/>
      <c r="D133" s="287"/>
      <c r="E133" s="288"/>
      <c r="F133" s="277"/>
      <c r="G133" s="279"/>
      <c r="H133" s="281"/>
      <c r="J133" s="261">
        <v>1</v>
      </c>
      <c r="K133" s="262">
        <f>_xlfn.IFERROR(RIGHT(D133,LEN(D133)-FIND("*",SUBSTITUTE(D133," ","*",LEN(D133)-LEN(SUBSTITUTE(D133," ",""))))),D133)</f>
        <v>0</v>
      </c>
      <c r="L133" s="263">
        <f>_xlfn.IFERROR(LEFT(F133,FIND(",",F133)-1),F133)</f>
        <v>0</v>
      </c>
      <c r="M133" s="12"/>
    </row>
    <row r="134" spans="1:13" ht="12.75">
      <c r="A134" s="285"/>
      <c r="B134" s="286"/>
      <c r="C134" s="282"/>
      <c r="D134" s="284"/>
      <c r="E134" s="288"/>
      <c r="F134" s="278"/>
      <c r="G134" s="280"/>
      <c r="H134" s="282"/>
      <c r="J134" s="261"/>
      <c r="K134" s="262"/>
      <c r="L134" s="264"/>
      <c r="M134" s="12"/>
    </row>
    <row r="135" spans="1:13" ht="12.75">
      <c r="A135" s="58"/>
      <c r="B135" s="24"/>
      <c r="C135" s="265"/>
      <c r="D135" s="270"/>
      <c r="E135" s="268"/>
      <c r="F135" s="268"/>
      <c r="G135" s="266"/>
      <c r="H135" s="265"/>
      <c r="J135" s="12"/>
      <c r="K135" s="12"/>
      <c r="L135" s="12"/>
      <c r="M135" s="12"/>
    </row>
    <row r="136" spans="1:13" ht="12.75">
      <c r="A136" s="58"/>
      <c r="B136" s="24"/>
      <c r="C136" s="265"/>
      <c r="D136" s="271"/>
      <c r="E136" s="268"/>
      <c r="F136" s="268"/>
      <c r="G136" s="266"/>
      <c r="H136" s="271"/>
      <c r="J136" s="12"/>
      <c r="K136" s="12"/>
      <c r="L136" s="12"/>
      <c r="M136" s="12"/>
    </row>
    <row r="137" spans="1:13" ht="12.75">
      <c r="A137" s="50" t="s">
        <v>58</v>
      </c>
      <c r="C137" s="265"/>
      <c r="D137" s="266"/>
      <c r="E137" s="268"/>
      <c r="F137" s="268"/>
      <c r="G137" s="266"/>
      <c r="H137" s="265"/>
      <c r="J137" s="12"/>
      <c r="K137" s="12"/>
      <c r="L137" s="12"/>
      <c r="M137" s="12"/>
    </row>
    <row r="138" spans="3:13" ht="12.75">
      <c r="C138" s="265"/>
      <c r="D138" s="267"/>
      <c r="E138" s="268"/>
      <c r="F138" s="268"/>
      <c r="G138" s="266"/>
      <c r="H138" s="269"/>
      <c r="J138" s="12"/>
      <c r="K138" s="12"/>
      <c r="L138" s="12"/>
      <c r="M138" s="12"/>
    </row>
    <row r="139" spans="1:13" ht="12.75">
      <c r="A139" s="50" t="s">
        <v>59</v>
      </c>
      <c r="J139" s="12"/>
      <c r="K139" s="12"/>
      <c r="L139" s="12"/>
      <c r="M139" s="12"/>
    </row>
    <row r="141" ht="12.75">
      <c r="A141" s="50" t="s">
        <v>60</v>
      </c>
    </row>
    <row r="145" ht="12.75">
      <c r="A145" s="50" t="s">
        <v>61</v>
      </c>
    </row>
  </sheetData>
  <sheetProtection/>
  <mergeCells count="729">
    <mergeCell ref="J63:J64"/>
    <mergeCell ref="K63:K64"/>
    <mergeCell ref="L63:L64"/>
    <mergeCell ref="J65:J66"/>
    <mergeCell ref="K65:K66"/>
    <mergeCell ref="L65:L66"/>
    <mergeCell ref="K57:K58"/>
    <mergeCell ref="L57:L58"/>
    <mergeCell ref="K69:K70"/>
    <mergeCell ref="L69:L70"/>
    <mergeCell ref="K61:K62"/>
    <mergeCell ref="L61:L62"/>
    <mergeCell ref="J49:J50"/>
    <mergeCell ref="K49:K50"/>
    <mergeCell ref="L49:L50"/>
    <mergeCell ref="K53:K54"/>
    <mergeCell ref="L53:L54"/>
    <mergeCell ref="L51:L52"/>
    <mergeCell ref="J53:J54"/>
    <mergeCell ref="L41:L42"/>
    <mergeCell ref="L47:L48"/>
    <mergeCell ref="J47:J48"/>
    <mergeCell ref="K47:K48"/>
    <mergeCell ref="J45:J46"/>
    <mergeCell ref="K45:K46"/>
    <mergeCell ref="L45:L46"/>
    <mergeCell ref="K43:K44"/>
    <mergeCell ref="L43:L44"/>
    <mergeCell ref="J41:J42"/>
    <mergeCell ref="J25:J26"/>
    <mergeCell ref="K25:K26"/>
    <mergeCell ref="L25:L26"/>
    <mergeCell ref="L31:L32"/>
    <mergeCell ref="J33:J34"/>
    <mergeCell ref="K33:K34"/>
    <mergeCell ref="L33:L34"/>
    <mergeCell ref="J31:J32"/>
    <mergeCell ref="K31:K32"/>
    <mergeCell ref="J29:J30"/>
    <mergeCell ref="J21:J22"/>
    <mergeCell ref="J15:J16"/>
    <mergeCell ref="K15:K16"/>
    <mergeCell ref="J23:J24"/>
    <mergeCell ref="K23:K24"/>
    <mergeCell ref="L23:L24"/>
    <mergeCell ref="L19:L20"/>
    <mergeCell ref="A3:H3"/>
    <mergeCell ref="D4:E4"/>
    <mergeCell ref="O5:Q5"/>
    <mergeCell ref="J7:J8"/>
    <mergeCell ref="K7:K8"/>
    <mergeCell ref="L7:L8"/>
    <mergeCell ref="E5:F6"/>
    <mergeCell ref="E7:E8"/>
    <mergeCell ref="A5:A6"/>
    <mergeCell ref="F7:F8"/>
    <mergeCell ref="J69:J70"/>
    <mergeCell ref="J59:J60"/>
    <mergeCell ref="K59:K60"/>
    <mergeCell ref="L59:L60"/>
    <mergeCell ref="J61:J62"/>
    <mergeCell ref="J51:J52"/>
    <mergeCell ref="J55:J56"/>
    <mergeCell ref="K55:K56"/>
    <mergeCell ref="L55:L56"/>
    <mergeCell ref="J57:J58"/>
    <mergeCell ref="J9:J10"/>
    <mergeCell ref="J67:J68"/>
    <mergeCell ref="K67:K68"/>
    <mergeCell ref="L67:L68"/>
    <mergeCell ref="L15:L16"/>
    <mergeCell ref="J17:J18"/>
    <mergeCell ref="K17:K18"/>
    <mergeCell ref="K29:K30"/>
    <mergeCell ref="L29:L30"/>
    <mergeCell ref="J43:J44"/>
    <mergeCell ref="K37:K38"/>
    <mergeCell ref="L37:L38"/>
    <mergeCell ref="L35:L36"/>
    <mergeCell ref="J37:J38"/>
    <mergeCell ref="J39:J40"/>
    <mergeCell ref="K39:K40"/>
    <mergeCell ref="L39:L40"/>
    <mergeCell ref="K41:K42"/>
    <mergeCell ref="J13:J14"/>
    <mergeCell ref="K13:K14"/>
    <mergeCell ref="L13:L14"/>
    <mergeCell ref="J27:J28"/>
    <mergeCell ref="K27:K28"/>
    <mergeCell ref="L27:L28"/>
    <mergeCell ref="L17:L18"/>
    <mergeCell ref="K21:K22"/>
    <mergeCell ref="L21:L22"/>
    <mergeCell ref="E115:E116"/>
    <mergeCell ref="E117:E118"/>
    <mergeCell ref="E119:E120"/>
    <mergeCell ref="E91:E92"/>
    <mergeCell ref="E93:E94"/>
    <mergeCell ref="E99:E100"/>
    <mergeCell ref="E101:E102"/>
    <mergeCell ref="E103:E104"/>
    <mergeCell ref="K9:K10"/>
    <mergeCell ref="K19:K20"/>
    <mergeCell ref="J35:J36"/>
    <mergeCell ref="K35:K36"/>
    <mergeCell ref="K51:K52"/>
    <mergeCell ref="L9:L10"/>
    <mergeCell ref="J19:J20"/>
    <mergeCell ref="J11:J12"/>
    <mergeCell ref="K11:K12"/>
    <mergeCell ref="L11:L12"/>
    <mergeCell ref="E67:E68"/>
    <mergeCell ref="E69:E70"/>
    <mergeCell ref="E71:E72"/>
    <mergeCell ref="E73:E74"/>
    <mergeCell ref="E131:E132"/>
    <mergeCell ref="E123:E124"/>
    <mergeCell ref="E125:E126"/>
    <mergeCell ref="E127:E128"/>
    <mergeCell ref="E129:E130"/>
    <mergeCell ref="E109:E110"/>
    <mergeCell ref="E51:E52"/>
    <mergeCell ref="E53:E54"/>
    <mergeCell ref="E55:E56"/>
    <mergeCell ref="E57:E58"/>
    <mergeCell ref="E59:E60"/>
    <mergeCell ref="E61:E62"/>
    <mergeCell ref="E31:E32"/>
    <mergeCell ref="E33:E34"/>
    <mergeCell ref="E35:E36"/>
    <mergeCell ref="E43:E44"/>
    <mergeCell ref="E45:E46"/>
    <mergeCell ref="E47:E48"/>
    <mergeCell ref="D33:D34"/>
    <mergeCell ref="A29:A30"/>
    <mergeCell ref="B29:B30"/>
    <mergeCell ref="C29:C30"/>
    <mergeCell ref="D29:D30"/>
    <mergeCell ref="E19:E20"/>
    <mergeCell ref="E21:E22"/>
    <mergeCell ref="E23:E24"/>
    <mergeCell ref="E25:E26"/>
    <mergeCell ref="E27:E28"/>
    <mergeCell ref="H29:H30"/>
    <mergeCell ref="F31:F32"/>
    <mergeCell ref="H31:H32"/>
    <mergeCell ref="G31:G32"/>
    <mergeCell ref="E29:E30"/>
    <mergeCell ref="E9:E10"/>
    <mergeCell ref="E11:E12"/>
    <mergeCell ref="E13:E14"/>
    <mergeCell ref="E15:E16"/>
    <mergeCell ref="E17:E18"/>
    <mergeCell ref="F33:F34"/>
    <mergeCell ref="H33:H34"/>
    <mergeCell ref="A31:A32"/>
    <mergeCell ref="B31:B32"/>
    <mergeCell ref="C31:C32"/>
    <mergeCell ref="D31:D32"/>
    <mergeCell ref="G33:G34"/>
    <mergeCell ref="A33:A34"/>
    <mergeCell ref="B33:B34"/>
    <mergeCell ref="C33:C34"/>
    <mergeCell ref="F29:F30"/>
    <mergeCell ref="A27:A28"/>
    <mergeCell ref="B27:B28"/>
    <mergeCell ref="C27:C28"/>
    <mergeCell ref="D27:D28"/>
    <mergeCell ref="C25:C26"/>
    <mergeCell ref="D25:D26"/>
    <mergeCell ref="F21:F22"/>
    <mergeCell ref="H21:H22"/>
    <mergeCell ref="F23:F24"/>
    <mergeCell ref="H23:H24"/>
    <mergeCell ref="F27:F28"/>
    <mergeCell ref="H27:H28"/>
    <mergeCell ref="F25:F26"/>
    <mergeCell ref="H25:H26"/>
    <mergeCell ref="G27:G28"/>
    <mergeCell ref="G21:G22"/>
    <mergeCell ref="A23:A24"/>
    <mergeCell ref="B23:B24"/>
    <mergeCell ref="C23:C24"/>
    <mergeCell ref="D23:D24"/>
    <mergeCell ref="G23:G24"/>
    <mergeCell ref="G25:G26"/>
    <mergeCell ref="A25:A26"/>
    <mergeCell ref="B25:B26"/>
    <mergeCell ref="C19:C20"/>
    <mergeCell ref="D19:D20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F19:F20"/>
    <mergeCell ref="H19:H20"/>
    <mergeCell ref="A17:A18"/>
    <mergeCell ref="B17:B18"/>
    <mergeCell ref="A19:A20"/>
    <mergeCell ref="B19:B20"/>
    <mergeCell ref="H17:H18"/>
    <mergeCell ref="F13:F14"/>
    <mergeCell ref="H13:H14"/>
    <mergeCell ref="F15:F16"/>
    <mergeCell ref="H15:H16"/>
    <mergeCell ref="G13:G14"/>
    <mergeCell ref="G15:G16"/>
    <mergeCell ref="G17:G18"/>
    <mergeCell ref="A13:A14"/>
    <mergeCell ref="B13:B14"/>
    <mergeCell ref="C13:C14"/>
    <mergeCell ref="D13:D14"/>
    <mergeCell ref="B11:B12"/>
    <mergeCell ref="C11:C12"/>
    <mergeCell ref="D11:D12"/>
    <mergeCell ref="A11:A12"/>
    <mergeCell ref="A7:A8"/>
    <mergeCell ref="B7:B8"/>
    <mergeCell ref="C7:C8"/>
    <mergeCell ref="D7:D8"/>
    <mergeCell ref="F9:F10"/>
    <mergeCell ref="A9:A10"/>
    <mergeCell ref="B9:B10"/>
    <mergeCell ref="C35:C36"/>
    <mergeCell ref="D35:D36"/>
    <mergeCell ref="F35:F36"/>
    <mergeCell ref="H35:H36"/>
    <mergeCell ref="G35:G36"/>
    <mergeCell ref="H5:H6"/>
    <mergeCell ref="D9:D10"/>
    <mergeCell ref="H7:H8"/>
    <mergeCell ref="F11:F12"/>
    <mergeCell ref="H11:H12"/>
    <mergeCell ref="F39:F40"/>
    <mergeCell ref="H39:H40"/>
    <mergeCell ref="G39:G40"/>
    <mergeCell ref="E39:E40"/>
    <mergeCell ref="C37:C38"/>
    <mergeCell ref="D37:D38"/>
    <mergeCell ref="F37:F38"/>
    <mergeCell ref="H37:H38"/>
    <mergeCell ref="G37:G38"/>
    <mergeCell ref="E37:E38"/>
    <mergeCell ref="B39:B40"/>
    <mergeCell ref="B41:B42"/>
    <mergeCell ref="C41:C42"/>
    <mergeCell ref="D41:D42"/>
    <mergeCell ref="F41:F42"/>
    <mergeCell ref="H41:H42"/>
    <mergeCell ref="G41:G42"/>
    <mergeCell ref="E41:E42"/>
    <mergeCell ref="C39:C40"/>
    <mergeCell ref="D39:D40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F43:F44"/>
    <mergeCell ref="H43:H44"/>
    <mergeCell ref="A45:A46"/>
    <mergeCell ref="B45:B46"/>
    <mergeCell ref="C45:C46"/>
    <mergeCell ref="D45:D46"/>
    <mergeCell ref="F45:F46"/>
    <mergeCell ref="H45:H46"/>
    <mergeCell ref="G43:G44"/>
    <mergeCell ref="G45:G46"/>
    <mergeCell ref="F49:F50"/>
    <mergeCell ref="H49:H50"/>
    <mergeCell ref="G47:G48"/>
    <mergeCell ref="G49:G50"/>
    <mergeCell ref="A47:A48"/>
    <mergeCell ref="B47:B48"/>
    <mergeCell ref="C47:C48"/>
    <mergeCell ref="D47:D48"/>
    <mergeCell ref="E49:E50"/>
    <mergeCell ref="A51:A52"/>
    <mergeCell ref="B51:B52"/>
    <mergeCell ref="C51:C52"/>
    <mergeCell ref="D51:D52"/>
    <mergeCell ref="F47:F48"/>
    <mergeCell ref="H47:H48"/>
    <mergeCell ref="A49:A50"/>
    <mergeCell ref="B49:B50"/>
    <mergeCell ref="C49:C50"/>
    <mergeCell ref="D49:D50"/>
    <mergeCell ref="F51:F52"/>
    <mergeCell ref="H51:H52"/>
    <mergeCell ref="A53:A54"/>
    <mergeCell ref="B53:B54"/>
    <mergeCell ref="C53:C54"/>
    <mergeCell ref="D53:D54"/>
    <mergeCell ref="F53:F54"/>
    <mergeCell ref="H53:H54"/>
    <mergeCell ref="G51:G52"/>
    <mergeCell ref="G53:G54"/>
    <mergeCell ref="F57:F58"/>
    <mergeCell ref="H57:H58"/>
    <mergeCell ref="G55:G56"/>
    <mergeCell ref="G57:G58"/>
    <mergeCell ref="A55:A56"/>
    <mergeCell ref="B55:B56"/>
    <mergeCell ref="C55:C56"/>
    <mergeCell ref="D55:D56"/>
    <mergeCell ref="A59:A60"/>
    <mergeCell ref="B59:B60"/>
    <mergeCell ref="C59:C60"/>
    <mergeCell ref="D59:D60"/>
    <mergeCell ref="F55:F56"/>
    <mergeCell ref="H55:H56"/>
    <mergeCell ref="A57:A58"/>
    <mergeCell ref="B57:B58"/>
    <mergeCell ref="C57:C58"/>
    <mergeCell ref="D57:D58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F65:F66"/>
    <mergeCell ref="H65:H66"/>
    <mergeCell ref="G63:G64"/>
    <mergeCell ref="G65:G66"/>
    <mergeCell ref="A63:A64"/>
    <mergeCell ref="B63:B64"/>
    <mergeCell ref="C63:C64"/>
    <mergeCell ref="D63:D64"/>
    <mergeCell ref="E63:E64"/>
    <mergeCell ref="E65:E66"/>
    <mergeCell ref="A67:A68"/>
    <mergeCell ref="B67:B68"/>
    <mergeCell ref="C67:C68"/>
    <mergeCell ref="D67:D68"/>
    <mergeCell ref="F63:F64"/>
    <mergeCell ref="H63:H64"/>
    <mergeCell ref="A65:A66"/>
    <mergeCell ref="B65:B66"/>
    <mergeCell ref="C65:C66"/>
    <mergeCell ref="D65:D66"/>
    <mergeCell ref="F67:F68"/>
    <mergeCell ref="H67:H68"/>
    <mergeCell ref="A69:A70"/>
    <mergeCell ref="B69:B70"/>
    <mergeCell ref="C69:C70"/>
    <mergeCell ref="D69:D70"/>
    <mergeCell ref="F69:F70"/>
    <mergeCell ref="H69:H70"/>
    <mergeCell ref="G67:G68"/>
    <mergeCell ref="G69:G70"/>
    <mergeCell ref="B5:B6"/>
    <mergeCell ref="C5:C6"/>
    <mergeCell ref="D5:D6"/>
    <mergeCell ref="G29:G30"/>
    <mergeCell ref="G5:G6"/>
    <mergeCell ref="G7:G8"/>
    <mergeCell ref="G9:G10"/>
    <mergeCell ref="G11:G12"/>
    <mergeCell ref="C9:C10"/>
    <mergeCell ref="F17:F18"/>
    <mergeCell ref="H9:H10"/>
    <mergeCell ref="A73:A74"/>
    <mergeCell ref="B73:B74"/>
    <mergeCell ref="C73:C74"/>
    <mergeCell ref="D73:D74"/>
    <mergeCell ref="F73:F74"/>
    <mergeCell ref="G73:G74"/>
    <mergeCell ref="H73:H74"/>
    <mergeCell ref="A71:A72"/>
    <mergeCell ref="G19:G20"/>
    <mergeCell ref="B71:B72"/>
    <mergeCell ref="A75:A76"/>
    <mergeCell ref="B75:B76"/>
    <mergeCell ref="C75:C76"/>
    <mergeCell ref="D75:D76"/>
    <mergeCell ref="F71:F72"/>
    <mergeCell ref="E75:E76"/>
    <mergeCell ref="G71:G72"/>
    <mergeCell ref="C71:C72"/>
    <mergeCell ref="D71:D72"/>
    <mergeCell ref="F75:F76"/>
    <mergeCell ref="G75:G76"/>
    <mergeCell ref="H75:H76"/>
    <mergeCell ref="H71:H72"/>
    <mergeCell ref="A77:A78"/>
    <mergeCell ref="B77:B78"/>
    <mergeCell ref="C77:C78"/>
    <mergeCell ref="D77:D78"/>
    <mergeCell ref="F77:F78"/>
    <mergeCell ref="G77:G78"/>
    <mergeCell ref="E77:E78"/>
    <mergeCell ref="H77:H78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B79:B80"/>
    <mergeCell ref="A83:A84"/>
    <mergeCell ref="B83:B84"/>
    <mergeCell ref="C83:C84"/>
    <mergeCell ref="D83:D84"/>
    <mergeCell ref="F79:F80"/>
    <mergeCell ref="E83:E84"/>
    <mergeCell ref="G79:G80"/>
    <mergeCell ref="C79:C80"/>
    <mergeCell ref="D79:D80"/>
    <mergeCell ref="E79:E80"/>
    <mergeCell ref="E81:E82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E85:E86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91:C92"/>
    <mergeCell ref="D91:D92"/>
    <mergeCell ref="F87:F88"/>
    <mergeCell ref="G87:G88"/>
    <mergeCell ref="C87:C88"/>
    <mergeCell ref="D87:D88"/>
    <mergeCell ref="F91:F92"/>
    <mergeCell ref="G91:G92"/>
    <mergeCell ref="E87:E88"/>
    <mergeCell ref="E89:E90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A99:A100"/>
    <mergeCell ref="B99:B100"/>
    <mergeCell ref="C99:C100"/>
    <mergeCell ref="D99:D100"/>
    <mergeCell ref="F95:F96"/>
    <mergeCell ref="G95:G96"/>
    <mergeCell ref="C95:C96"/>
    <mergeCell ref="D95:D96"/>
    <mergeCell ref="E95:E96"/>
    <mergeCell ref="E97:E98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E107:E108"/>
    <mergeCell ref="E105:E106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E111:E112"/>
    <mergeCell ref="E113:E114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F119:F120"/>
    <mergeCell ref="G119:G120"/>
    <mergeCell ref="C119:C120"/>
    <mergeCell ref="D119:D120"/>
    <mergeCell ref="F123:F124"/>
    <mergeCell ref="G123:G124"/>
    <mergeCell ref="E121:E122"/>
    <mergeCell ref="F125:F126"/>
    <mergeCell ref="G125:G126"/>
    <mergeCell ref="H125:H126"/>
    <mergeCell ref="A123:A124"/>
    <mergeCell ref="B123:B124"/>
    <mergeCell ref="C123:C124"/>
    <mergeCell ref="D123:D124"/>
    <mergeCell ref="H129:H130"/>
    <mergeCell ref="A127:A128"/>
    <mergeCell ref="B127:B128"/>
    <mergeCell ref="C127:C128"/>
    <mergeCell ref="D127:D128"/>
    <mergeCell ref="H123:H124"/>
    <mergeCell ref="A125:A126"/>
    <mergeCell ref="B125:B126"/>
    <mergeCell ref="C125:C126"/>
    <mergeCell ref="D125:D126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A133:A134"/>
    <mergeCell ref="B133:B134"/>
    <mergeCell ref="C133:C134"/>
    <mergeCell ref="D133:D134"/>
    <mergeCell ref="F133:F134"/>
    <mergeCell ref="G133:G134"/>
    <mergeCell ref="E133:E134"/>
    <mergeCell ref="A1:H1"/>
    <mergeCell ref="B2:C2"/>
    <mergeCell ref="D2:H2"/>
    <mergeCell ref="F131:F132"/>
    <mergeCell ref="G131:G132"/>
    <mergeCell ref="H131:H132"/>
    <mergeCell ref="C129:C130"/>
    <mergeCell ref="D129:D130"/>
    <mergeCell ref="F129:F130"/>
    <mergeCell ref="G129:G130"/>
    <mergeCell ref="C135:C136"/>
    <mergeCell ref="D135:D136"/>
    <mergeCell ref="E135:E136"/>
    <mergeCell ref="F135:F136"/>
    <mergeCell ref="G135:G136"/>
    <mergeCell ref="H135:H136"/>
    <mergeCell ref="C137:C138"/>
    <mergeCell ref="D137:D138"/>
    <mergeCell ref="E137:E138"/>
    <mergeCell ref="F137:F138"/>
    <mergeCell ref="G137:G138"/>
    <mergeCell ref="H137:H138"/>
    <mergeCell ref="J71:J72"/>
    <mergeCell ref="K71:K72"/>
    <mergeCell ref="L71:L72"/>
    <mergeCell ref="J73:J74"/>
    <mergeCell ref="K73:K74"/>
    <mergeCell ref="L73:L74"/>
    <mergeCell ref="J75:J76"/>
    <mergeCell ref="K75:K76"/>
    <mergeCell ref="L75:L76"/>
    <mergeCell ref="J77:J78"/>
    <mergeCell ref="K77:K78"/>
    <mergeCell ref="L77:L78"/>
    <mergeCell ref="J79:J80"/>
    <mergeCell ref="K79:K80"/>
    <mergeCell ref="L79:L80"/>
    <mergeCell ref="J81:J82"/>
    <mergeCell ref="K81:K82"/>
    <mergeCell ref="L81:L82"/>
    <mergeCell ref="J83:J84"/>
    <mergeCell ref="K83:K84"/>
    <mergeCell ref="L83:L84"/>
    <mergeCell ref="J85:J86"/>
    <mergeCell ref="K85:K86"/>
    <mergeCell ref="L85:L86"/>
    <mergeCell ref="J87:J88"/>
    <mergeCell ref="K87:K88"/>
    <mergeCell ref="L87:L88"/>
    <mergeCell ref="J89:J90"/>
    <mergeCell ref="K89:K90"/>
    <mergeCell ref="L89:L90"/>
    <mergeCell ref="J91:J92"/>
    <mergeCell ref="K91:K92"/>
    <mergeCell ref="L91:L92"/>
    <mergeCell ref="J93:J94"/>
    <mergeCell ref="K93:K94"/>
    <mergeCell ref="L93:L94"/>
    <mergeCell ref="J95:J96"/>
    <mergeCell ref="K95:K96"/>
    <mergeCell ref="L95:L96"/>
    <mergeCell ref="J97:J98"/>
    <mergeCell ref="K97:K98"/>
    <mergeCell ref="L97:L98"/>
    <mergeCell ref="J99:J100"/>
    <mergeCell ref="K99:K100"/>
    <mergeCell ref="L99:L100"/>
    <mergeCell ref="J101:J102"/>
    <mergeCell ref="K101:K102"/>
    <mergeCell ref="L101:L102"/>
    <mergeCell ref="J103:J104"/>
    <mergeCell ref="K103:K104"/>
    <mergeCell ref="L103:L104"/>
    <mergeCell ref="J105:J106"/>
    <mergeCell ref="K105:K106"/>
    <mergeCell ref="L105:L106"/>
    <mergeCell ref="J107:J108"/>
    <mergeCell ref="K107:K108"/>
    <mergeCell ref="L107:L108"/>
    <mergeCell ref="J109:J110"/>
    <mergeCell ref="K109:K110"/>
    <mergeCell ref="L109:L110"/>
    <mergeCell ref="J111:J112"/>
    <mergeCell ref="K111:K112"/>
    <mergeCell ref="L111:L112"/>
    <mergeCell ref="J113:J114"/>
    <mergeCell ref="K113:K114"/>
    <mergeCell ref="L113:L114"/>
    <mergeCell ref="J115:J116"/>
    <mergeCell ref="K115:K116"/>
    <mergeCell ref="L115:L116"/>
    <mergeCell ref="J117:J118"/>
    <mergeCell ref="K117:K118"/>
    <mergeCell ref="L117:L118"/>
    <mergeCell ref="J119:J120"/>
    <mergeCell ref="K119:K120"/>
    <mergeCell ref="L119:L120"/>
    <mergeCell ref="J121:J122"/>
    <mergeCell ref="K121:K122"/>
    <mergeCell ref="L121:L122"/>
    <mergeCell ref="J123:J124"/>
    <mergeCell ref="K123:K124"/>
    <mergeCell ref="L123:L124"/>
    <mergeCell ref="J125:J126"/>
    <mergeCell ref="K125:K126"/>
    <mergeCell ref="L125:L126"/>
    <mergeCell ref="J127:J128"/>
    <mergeCell ref="K127:K128"/>
    <mergeCell ref="L127:L128"/>
    <mergeCell ref="J129:J130"/>
    <mergeCell ref="K129:K130"/>
    <mergeCell ref="L129:L130"/>
    <mergeCell ref="J131:J132"/>
    <mergeCell ref="K131:K132"/>
    <mergeCell ref="L131:L132"/>
    <mergeCell ref="J133:J134"/>
    <mergeCell ref="K133:K134"/>
    <mergeCell ref="L133:L13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="80" zoomScaleNormal="80" zoomScalePageLayoutView="0" workbookViewId="0" topLeftCell="A1">
      <selection activeCell="A73" sqref="A1:AE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140625" style="165" customWidth="1"/>
    <col min="33" max="39" width="9.140625" style="165" hidden="1" customWidth="1"/>
    <col min="40" max="40" width="9.140625" style="165" customWidth="1"/>
  </cols>
  <sheetData>
    <row r="1" spans="1:31" ht="27.75" customHeight="1">
      <c r="A1" s="110"/>
      <c r="B1" s="112"/>
      <c r="C1" s="112"/>
      <c r="D1" s="112"/>
      <c r="E1" s="112"/>
      <c r="F1" s="403" t="s">
        <v>29</v>
      </c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112"/>
      <c r="AB1" s="110"/>
      <c r="AC1" s="404" t="str">
        <f>'пр.взв.'!D4</f>
        <v>в.к. 82 кг.</v>
      </c>
      <c r="AD1" s="405"/>
      <c r="AE1" s="406"/>
    </row>
    <row r="2" spans="1:31" ht="14.25" customHeight="1" thickBot="1">
      <c r="A2" s="110"/>
      <c r="B2" s="113"/>
      <c r="C2" s="113"/>
      <c r="D2" s="113"/>
      <c r="E2" s="113"/>
      <c r="F2" s="402" t="s">
        <v>30</v>
      </c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113"/>
      <c r="AB2" s="114"/>
      <c r="AC2" s="407"/>
      <c r="AD2" s="408"/>
      <c r="AE2" s="409"/>
    </row>
    <row r="3" spans="1:31" ht="24.75" customHeight="1" thickBot="1">
      <c r="A3" s="115"/>
      <c r="B3" s="113"/>
      <c r="C3" s="110"/>
      <c r="D3" s="110"/>
      <c r="E3" s="110"/>
      <c r="F3" s="414" t="str">
        <f>'[2]реквизиты'!$A$2</f>
        <v>Чемпионат России по  САМБО среди мужчин.</v>
      </c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6"/>
      <c r="AA3" s="110"/>
      <c r="AB3" s="116"/>
      <c r="AC3" s="410" t="s">
        <v>301</v>
      </c>
      <c r="AD3" s="411"/>
      <c r="AE3" s="412"/>
    </row>
    <row r="4" spans="1:31" ht="18" customHeight="1" thickBot="1">
      <c r="A4" s="117" t="s">
        <v>9</v>
      </c>
      <c r="B4" s="118"/>
      <c r="C4" s="119"/>
      <c r="D4" s="120"/>
      <c r="E4" s="110"/>
      <c r="F4" s="110"/>
      <c r="G4" s="110"/>
      <c r="H4" s="110"/>
      <c r="I4" s="110"/>
      <c r="J4" s="391" t="str">
        <f>'[2]реквизиты'!$A$3</f>
        <v>4-8 марта 2016.                                                         г.Химки</v>
      </c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115"/>
      <c r="V4" s="110"/>
      <c r="W4" s="110"/>
      <c r="X4" s="110"/>
      <c r="Y4" s="110"/>
      <c r="Z4" s="110"/>
      <c r="AA4" s="110"/>
      <c r="AB4" s="413" t="s">
        <v>10</v>
      </c>
      <c r="AC4" s="413"/>
      <c r="AD4" s="413"/>
      <c r="AE4" s="413"/>
    </row>
    <row r="5" spans="1:35" ht="12" customHeight="1" thickBot="1">
      <c r="A5" s="386">
        <v>1</v>
      </c>
      <c r="B5" s="388" t="str">
        <f>VLOOKUP(A5,'пр.взв.'!B$7:C$134,2,FALSE)</f>
        <v>ЖЕЛАГА Филипп Олегович</v>
      </c>
      <c r="C5" s="388" t="str">
        <f>VLOOKUP(A5,'пр.взв.'!B$7:H$134,3,FALSE)</f>
        <v>15.05.92, МС</v>
      </c>
      <c r="D5" s="388" t="str">
        <f>VLOOKUP(A5,'пр.взв.'!B$7:F$134,4,FALSE)</f>
        <v>ЦФО</v>
      </c>
      <c r="E5" s="122"/>
      <c r="F5" s="122"/>
      <c r="G5" s="138"/>
      <c r="H5" s="110"/>
      <c r="I5" s="110"/>
      <c r="J5" s="110"/>
      <c r="K5" s="108"/>
      <c r="L5" s="81"/>
      <c r="M5" s="81"/>
      <c r="N5" s="81"/>
      <c r="O5" s="82"/>
      <c r="P5" s="111"/>
      <c r="Q5" s="111"/>
      <c r="R5" s="111"/>
      <c r="S5" s="78"/>
      <c r="T5" s="115"/>
      <c r="U5" s="115"/>
      <c r="V5" s="110"/>
      <c r="W5" s="110"/>
      <c r="X5" s="110"/>
      <c r="Y5" s="110"/>
      <c r="Z5" s="110"/>
      <c r="AA5" s="110"/>
      <c r="AB5" s="360" t="str">
        <f>VLOOKUP(AE5,'пр.взв.'!B$7:H$134,2,FALSE)</f>
        <v>ХОЧУЕВ Мурат Назирович</v>
      </c>
      <c r="AC5" s="360" t="str">
        <f>VLOOKUP(AE5,'пр.взв.'!B$7:H$134,3,FALSE)</f>
        <v>02.03.92, МС</v>
      </c>
      <c r="AD5" s="360" t="str">
        <f>VLOOKUP(AE5,'пр.взв.'!B$7:H$134,4,FALSE)</f>
        <v>СПБ</v>
      </c>
      <c r="AE5" s="401">
        <v>2</v>
      </c>
      <c r="AH5" s="166">
        <f>IF(K20=A5,A7,IF(K20=A7,A5,IF(K20=A9,A11,IF(K20=A11,A9,IF(K20=A13,A15,IF(K20=A15,A13,IF(K20=A17,A19,IF(K20=A19,A17,0))))))))</f>
        <v>0</v>
      </c>
      <c r="AI5" s="166">
        <f>IF(K20=A21,A23,IF(K20=A23,A21,IF(K20=A25,A27,IF(K20=A27,A25,IF(K20=A29,A31,IF(K20=A31,A29,IF(K20=A33,A35,IF(K20=A35,A33,0))))))))</f>
        <v>45</v>
      </c>
    </row>
    <row r="6" spans="1:35" ht="12" customHeight="1" thickBot="1">
      <c r="A6" s="387"/>
      <c r="B6" s="373"/>
      <c r="C6" s="373"/>
      <c r="D6" s="373"/>
      <c r="E6" s="130">
        <v>33</v>
      </c>
      <c r="F6" s="139"/>
      <c r="G6" s="140"/>
      <c r="H6" s="141"/>
      <c r="I6" s="110"/>
      <c r="J6" s="110"/>
      <c r="K6" s="142"/>
      <c r="L6" s="85"/>
      <c r="M6" s="85"/>
      <c r="N6" s="359" t="s">
        <v>25</v>
      </c>
      <c r="O6" s="359"/>
      <c r="P6" s="163"/>
      <c r="Q6" s="163"/>
      <c r="R6" s="164"/>
      <c r="T6" s="110"/>
      <c r="U6" s="110"/>
      <c r="V6" s="110"/>
      <c r="W6" s="110"/>
      <c r="X6" s="110"/>
      <c r="Y6" s="110"/>
      <c r="Z6" s="110"/>
      <c r="AA6" s="130">
        <v>34</v>
      </c>
      <c r="AB6" s="361"/>
      <c r="AC6" s="361"/>
      <c r="AD6" s="361"/>
      <c r="AE6" s="399"/>
      <c r="AG6" s="165">
        <f>IF(AH5=0,AI5,AH5)</f>
        <v>45</v>
      </c>
      <c r="AH6" s="166">
        <f>IF(K53=A54,A56,IF(K53=A56,A54,IF(K53=A58,A60,IF(K53=A60,A58,IF(K53=A62,A64,IF(K53=A64,A62,IF(K53=A66,A68,IF(K53=A68,A66,0))))))))</f>
        <v>0</v>
      </c>
      <c r="AI6" s="166">
        <f>IF(K53=A38,A40,IF(K53=A40,A38,IF(K53=A42,A44,IF(K53=A44,A42,IF(K53=A46,A48,IF(K53=A48,A46,IF(K53=A50,A52,IF(K53=A52,A50,0))))))))</f>
        <v>59</v>
      </c>
    </row>
    <row r="7" spans="1:35" ht="12" customHeight="1" thickBot="1">
      <c r="A7" s="387">
        <v>33</v>
      </c>
      <c r="B7" s="361" t="str">
        <f>VLOOKUP(A7,'пр.взв.'!B$7:C$134,2,FALSE)</f>
        <v>ФЕТИСОВ Алексей Игоревич</v>
      </c>
      <c r="C7" s="361" t="str">
        <f>VLOOKUP(A7,'пр.взв.'!B$7:H$134,3,FALSE)</f>
        <v>09.04.90 кмс</v>
      </c>
      <c r="D7" s="361" t="str">
        <f>VLOOKUP(A7,'пр.взв.'!B$7:F$134,4,FALSE)</f>
        <v>ЦФО</v>
      </c>
      <c r="E7" s="131" t="s">
        <v>300</v>
      </c>
      <c r="F7" s="143"/>
      <c r="G7" s="139"/>
      <c r="H7" s="144"/>
      <c r="I7" s="110"/>
      <c r="J7" s="142"/>
      <c r="K7" s="142"/>
      <c r="L7" s="363">
        <f>AG6</f>
        <v>45</v>
      </c>
      <c r="M7" s="363"/>
      <c r="N7" s="81"/>
      <c r="O7" s="81"/>
      <c r="P7" s="163"/>
      <c r="Q7" s="163"/>
      <c r="R7" s="164"/>
      <c r="S7" s="50"/>
      <c r="T7" s="227"/>
      <c r="U7" s="227"/>
      <c r="V7" s="227"/>
      <c r="W7" s="227"/>
      <c r="X7" s="227"/>
      <c r="Y7" s="227"/>
      <c r="Z7" s="228"/>
      <c r="AA7" s="131" t="s">
        <v>300</v>
      </c>
      <c r="AB7" s="360" t="str">
        <f>VLOOKUP(AE7,'пр.взв.'!B$7:H$134,2,FALSE)</f>
        <v>ПОЖИДАЕВ Егор Николаевич</v>
      </c>
      <c r="AC7" s="360" t="str">
        <f>VLOOKUP(AE7,'пр.взв.'!B$7:H$134,3,FALSE)</f>
        <v>18.07.91 кмс</v>
      </c>
      <c r="AD7" s="360" t="str">
        <f>VLOOKUP(AE7,'пр.взв.'!B$7:H$134,4,FALSE)</f>
        <v>СЗФО</v>
      </c>
      <c r="AE7" s="399">
        <v>34</v>
      </c>
      <c r="AG7" s="165">
        <f>IF(K20=E6,E10,IF(K20=E10,E6,IF(K20=E14,E18,IF(K20=E18,E14,IF(K20=E22,E26,IF(K20=E26,E22,IF(K20=E30,E34,E30)))))))</f>
        <v>29</v>
      </c>
      <c r="AH7" s="166">
        <f>IF(U20=AE5,AE7,IF(U20=AE7,AE5,IF(U20=AE9,AE11,IF(U20=AE11,AE9,IF(U20=AE13,AE15,IF(U20=AE15,AE13,IF(U20=AE17,AE19,IF(U20=AE19,AE17,0))))))))</f>
        <v>0</v>
      </c>
      <c r="AI7" s="166">
        <f>IF(U20=AE21,AE23,IF(U20=AE23,AE21,IF(U20=AE25,AE27,IF(U20=AE27,AE25,IF(U20=AE29,AE31,IF(U20=AE31,AE29,IF(U20=AE33,AE35,IF(U20=AE35,AE33,0))))))))</f>
        <v>46</v>
      </c>
    </row>
    <row r="8" spans="1:35" ht="12" customHeight="1" thickBot="1">
      <c r="A8" s="389"/>
      <c r="B8" s="373"/>
      <c r="C8" s="373"/>
      <c r="D8" s="373"/>
      <c r="E8" s="139"/>
      <c r="F8" s="145"/>
      <c r="G8" s="130">
        <v>33</v>
      </c>
      <c r="H8" s="146"/>
      <c r="I8" s="110"/>
      <c r="J8" s="133"/>
      <c r="K8" s="108"/>
      <c r="L8" s="371"/>
      <c r="M8" s="372"/>
      <c r="N8" s="109">
        <v>45</v>
      </c>
      <c r="O8" s="229"/>
      <c r="P8" s="230"/>
      <c r="Q8" s="50"/>
      <c r="R8" s="50"/>
      <c r="S8" s="50"/>
      <c r="T8" s="227"/>
      <c r="U8" s="227"/>
      <c r="V8" s="227"/>
      <c r="W8" s="227"/>
      <c r="X8" s="231"/>
      <c r="Y8" s="130">
        <v>50</v>
      </c>
      <c r="Z8" s="232"/>
      <c r="AA8" s="110"/>
      <c r="AB8" s="361"/>
      <c r="AC8" s="361"/>
      <c r="AD8" s="361"/>
      <c r="AE8" s="400"/>
      <c r="AG8" s="165">
        <f>IF(K20=G8,G16,IF(K20=G16,G8,IF(K20=G24,G32,G24)))</f>
        <v>21</v>
      </c>
      <c r="AH8" s="166">
        <f>IF(U53=AE54,AE56,IF(U53=AE56,AE54,IF(U53=AE58,AE60,IF(U53=AE60,AE58,IF(U53=AE62,AE64,IF(U53=AE64,AE62,IF(U53=AE66,AE68,IF(U53=AE68,AE66,0))))))))</f>
        <v>0</v>
      </c>
      <c r="AI8" s="166">
        <f>IF(U53=AE38,AE40,IF(U53=AE40,AE38,IF(U53=AE42,AE44,IF(U53=AE44,AE42,IF(U53=AE46,AE48,IF(U53=AE48,AE46,IF(U53=AE50,AE52,IF(U53=AE52,AE50,0))))))))</f>
        <v>60</v>
      </c>
    </row>
    <row r="9" spans="1:39" ht="12" customHeight="1" thickBot="1">
      <c r="A9" s="386">
        <v>17</v>
      </c>
      <c r="B9" s="388" t="str">
        <f>VLOOKUP(A9,'пр.взв.'!B$7:C$134,2,FALSE)</f>
        <v>КИРИЛЛОВ Никита Викторович</v>
      </c>
      <c r="C9" s="388" t="str">
        <f>VLOOKUP(A9,'пр.взв.'!B$7:H$134,3,FALSE)</f>
        <v>07.06.97, КМС</v>
      </c>
      <c r="D9" s="388" t="str">
        <f>VLOOKUP(A9,'пр.взв.'!B$7:F$134,4,FALSE)</f>
        <v>СФО</v>
      </c>
      <c r="E9" s="122"/>
      <c r="F9" s="139"/>
      <c r="G9" s="131" t="s">
        <v>300</v>
      </c>
      <c r="H9" s="147"/>
      <c r="I9" s="132"/>
      <c r="J9" s="227"/>
      <c r="K9" s="142"/>
      <c r="L9" s="80"/>
      <c r="M9" s="233"/>
      <c r="N9" s="234" t="s">
        <v>302</v>
      </c>
      <c r="O9" s="230"/>
      <c r="P9" s="229"/>
      <c r="Q9" s="50"/>
      <c r="R9" s="50"/>
      <c r="S9" s="50"/>
      <c r="T9" s="227"/>
      <c r="U9" s="227"/>
      <c r="V9" s="227"/>
      <c r="W9" s="227"/>
      <c r="X9" s="232"/>
      <c r="Y9" s="131" t="s">
        <v>302</v>
      </c>
      <c r="Z9" s="232"/>
      <c r="AA9" s="110"/>
      <c r="AB9" s="360" t="str">
        <f>VLOOKUP(AE9,'пр.взв.'!B$7:H$134,2,FALSE)</f>
        <v>АБДУЛКАДИРОВ Магомед Камингаджиевич</v>
      </c>
      <c r="AC9" s="360" t="str">
        <f>VLOOKUP(AE9,'пр.взв.'!B$7:H$134,3,FALSE)</f>
        <v>19.11.92, МС</v>
      </c>
      <c r="AD9" s="360" t="str">
        <f>VLOOKUP(AE9,'пр.взв.'!B$7:H$134,4,FALSE)</f>
        <v>СКФО</v>
      </c>
      <c r="AE9" s="401">
        <v>18</v>
      </c>
      <c r="AG9" s="165">
        <f>IF(K20=I12,I28,I12)</f>
        <v>41</v>
      </c>
      <c r="AH9" s="167"/>
      <c r="AI9" s="167" t="s">
        <v>70</v>
      </c>
      <c r="AK9" s="167" t="s">
        <v>70</v>
      </c>
      <c r="AL9" s="167" t="s">
        <v>70</v>
      </c>
      <c r="AM9" s="167" t="s">
        <v>71</v>
      </c>
    </row>
    <row r="10" spans="1:39" ht="12" customHeight="1" thickBot="1">
      <c r="A10" s="387"/>
      <c r="B10" s="373"/>
      <c r="C10" s="373"/>
      <c r="D10" s="373"/>
      <c r="E10" s="130">
        <v>17</v>
      </c>
      <c r="F10" s="149"/>
      <c r="G10" s="139"/>
      <c r="H10" s="141"/>
      <c r="I10" s="132"/>
      <c r="J10" s="146"/>
      <c r="K10" s="108"/>
      <c r="L10" s="363">
        <f>AG7</f>
        <v>29</v>
      </c>
      <c r="M10" s="366"/>
      <c r="N10" s="51"/>
      <c r="O10" s="109">
        <v>45</v>
      </c>
      <c r="P10" s="229"/>
      <c r="Q10" s="229"/>
      <c r="R10" s="50"/>
      <c r="S10" s="235"/>
      <c r="T10" s="227"/>
      <c r="U10" s="227"/>
      <c r="V10" s="227"/>
      <c r="W10" s="227"/>
      <c r="X10" s="232"/>
      <c r="Y10" s="227"/>
      <c r="Z10" s="236"/>
      <c r="AA10" s="130">
        <v>50</v>
      </c>
      <c r="AB10" s="361"/>
      <c r="AC10" s="361"/>
      <c r="AD10" s="361"/>
      <c r="AE10" s="399"/>
      <c r="AG10" s="165">
        <f>IF(AH6=0,AI6,AH6)</f>
        <v>59</v>
      </c>
      <c r="AH10" s="166">
        <f>IF(OR(K$20=A5,K$20=A7)," ",IF(E6=A5,A7,A5))</f>
        <v>1</v>
      </c>
      <c r="AI10" s="168">
        <f>IF(AH10=" ",AH11,AH10)</f>
        <v>1</v>
      </c>
      <c r="AJ10" s="166">
        <f>IF(OR(K$20=E6,K$20=E10)," ",IF(G8=E6,E10,E6))</f>
        <v>17</v>
      </c>
      <c r="AK10" s="168">
        <f>IF(AJ10=" ",AJ11,AJ10)</f>
        <v>17</v>
      </c>
      <c r="AL10" s="167">
        <f>IF(OR(K$20=G8,K$20=G16)," ",IF(I12=G8,G16,G8))</f>
        <v>33</v>
      </c>
      <c r="AM10" s="165">
        <f>IF(N8=L7,L10,L7)</f>
        <v>29</v>
      </c>
    </row>
    <row r="11" spans="1:39" ht="12" customHeight="1" thickBot="1">
      <c r="A11" s="387">
        <v>49</v>
      </c>
      <c r="B11" s="361" t="str">
        <f>VLOOKUP(A11,'пр.взв.'!B$7:C$134,2,FALSE)</f>
        <v>СИДАКОВ Азамат Мурадович</v>
      </c>
      <c r="C11" s="361" t="str">
        <f>VLOOKUP(A11,'пр.взв.'!B$7:H$134,3,FALSE)</f>
        <v>29.03.83, МС</v>
      </c>
      <c r="D11" s="361" t="str">
        <f>VLOOKUP(A11,'пр.взв.'!B$7:F$134,4,FALSE)</f>
        <v>СКФО</v>
      </c>
      <c r="E11" s="131" t="s">
        <v>300</v>
      </c>
      <c r="F11" s="139"/>
      <c r="G11" s="139"/>
      <c r="H11" s="144"/>
      <c r="I11" s="151"/>
      <c r="J11" s="146"/>
      <c r="K11" s="227"/>
      <c r="L11" s="371"/>
      <c r="M11" s="371"/>
      <c r="N11" s="15">
        <f>AG8</f>
        <v>21</v>
      </c>
      <c r="O11" s="234" t="s">
        <v>302</v>
      </c>
      <c r="P11" s="229"/>
      <c r="Q11" s="50"/>
      <c r="R11" s="50"/>
      <c r="S11" s="229"/>
      <c r="T11" s="108"/>
      <c r="U11" s="227"/>
      <c r="V11" s="227"/>
      <c r="W11" s="227"/>
      <c r="X11" s="232"/>
      <c r="Y11" s="227"/>
      <c r="Z11" s="227"/>
      <c r="AA11" s="131" t="s">
        <v>300</v>
      </c>
      <c r="AB11" s="360" t="str">
        <f>VLOOKUP(AE11,'пр.взв.'!B$7:H$134,2,FALSE)</f>
        <v>ПРИКАЗЧИКОВ Владимир Александрович</v>
      </c>
      <c r="AC11" s="360" t="str">
        <f>VLOOKUP(AE11,'пр.взв.'!B$7:H$134,3,FALSE)</f>
        <v>06.11.87, ЗМС</v>
      </c>
      <c r="AD11" s="360" t="str">
        <f>VLOOKUP(AE11,'пр.взв.'!B$7:H$134,4,FALSE)</f>
        <v>МОС</v>
      </c>
      <c r="AE11" s="399">
        <v>50</v>
      </c>
      <c r="AG11" s="165">
        <f>IF(K53=E39,E43,IF(K53=E43,E39,IF(K53=E47,E51,IF(K53=E51,E47,IF(K53=E55,E59,IF(K53=E59,E55,IF(K53=E63,E67,E63)))))))</f>
        <v>11</v>
      </c>
      <c r="AH11" s="166">
        <f>IF(OR(K$20=A9,K$20=A11)," ",IF(E10=A9,A11,A9))</f>
        <v>49</v>
      </c>
      <c r="AI11" s="168">
        <f>IF(OR(AH10=" ",AH11=" "),AH12,AH11)</f>
        <v>49</v>
      </c>
      <c r="AJ11" s="166">
        <f>IF(OR(K$20=E14,K$20=E18)," ",IF(G16=E14,E18,E14))</f>
        <v>25</v>
      </c>
      <c r="AK11" s="168">
        <f>IF(OR(AJ10=" ",AJ11=" "),AJ12,AJ11)</f>
        <v>25</v>
      </c>
      <c r="AL11" s="165">
        <f>IF(AND(OR(K20=G8,K20=G16),I28=G24),G32,IF(AND(OR(K20=G8,K20=G16),I28=G32),G24,IF(I12=G8,G16,G8)))</f>
        <v>33</v>
      </c>
      <c r="AM11" s="165">
        <f>IF(N57=L56,L59,L56)</f>
        <v>30</v>
      </c>
    </row>
    <row r="12" spans="1:39" ht="12" customHeight="1" thickBot="1">
      <c r="A12" s="389"/>
      <c r="B12" s="373"/>
      <c r="C12" s="373"/>
      <c r="D12" s="373"/>
      <c r="E12" s="139"/>
      <c r="F12" s="139"/>
      <c r="G12" s="145"/>
      <c r="H12" s="150"/>
      <c r="I12" s="130">
        <v>41</v>
      </c>
      <c r="J12" s="152"/>
      <c r="K12" s="227"/>
      <c r="L12" s="81"/>
      <c r="M12" s="229"/>
      <c r="N12" s="50"/>
      <c r="O12" s="51"/>
      <c r="P12" s="109">
        <v>45</v>
      </c>
      <c r="Q12" s="50"/>
      <c r="R12" s="50"/>
      <c r="S12" s="229"/>
      <c r="T12" s="133"/>
      <c r="U12" s="227"/>
      <c r="V12" s="227"/>
      <c r="W12" s="130">
        <v>26</v>
      </c>
      <c r="X12" s="232"/>
      <c r="Y12" s="227"/>
      <c r="Z12" s="227"/>
      <c r="AA12" s="110"/>
      <c r="AB12" s="361"/>
      <c r="AC12" s="361"/>
      <c r="AD12" s="361"/>
      <c r="AE12" s="400"/>
      <c r="AG12" s="165">
        <f>IF(K53=G41,G49,IF(K53=G49,G41,IF(K53=G57,G65,G57)))</f>
        <v>19</v>
      </c>
      <c r="AH12" s="166">
        <f>IF(OR(K$20=A13,K$20=A15)," ",IF(E14=A13,A15,A13))</f>
        <v>9</v>
      </c>
      <c r="AI12" s="168">
        <f>IF(OR(AH10=" ",AH11=" ",AH12=" "),AH13,AH12)</f>
        <v>9</v>
      </c>
      <c r="AJ12" s="166">
        <f>IF(OR(K$20=E22,K$20=E26)," ",IF(G24=E22,E26,E22))</f>
        <v>5</v>
      </c>
      <c r="AK12" s="168">
        <f>IF(OR(AJ10=" ",AJ11=" ",AJ12=" "),AJ13,AJ12)</f>
        <v>5</v>
      </c>
      <c r="AM12" s="165">
        <f>IF(N15=L14,L17,L14)</f>
        <v>59</v>
      </c>
    </row>
    <row r="13" spans="1:39" ht="12" customHeight="1" thickBot="1">
      <c r="A13" s="386">
        <v>9</v>
      </c>
      <c r="B13" s="388" t="str">
        <f>VLOOKUP(A13,'пр.взв.'!B$7:C$134,2,FALSE)</f>
        <v>ПОЗДЕЕВ Дмитрий Андреевич</v>
      </c>
      <c r="C13" s="388" t="str">
        <f>VLOOKUP(A13,'пр.взв.'!B$7:H$134,3,FALSE)</f>
        <v>06.05.95, МС</v>
      </c>
      <c r="D13" s="388" t="str">
        <f>VLOOKUP(A13,'пр.взв.'!B$7:F$134,4,FALSE)</f>
        <v>УФО</v>
      </c>
      <c r="E13" s="122"/>
      <c r="F13" s="122"/>
      <c r="G13" s="139"/>
      <c r="H13" s="153"/>
      <c r="I13" s="131" t="s">
        <v>300</v>
      </c>
      <c r="J13" s="133"/>
      <c r="K13" s="135"/>
      <c r="L13" s="108"/>
      <c r="M13" s="229"/>
      <c r="N13" s="50"/>
      <c r="O13" s="15">
        <f>AG9</f>
        <v>41</v>
      </c>
      <c r="P13" s="234" t="s">
        <v>300</v>
      </c>
      <c r="Q13" s="50"/>
      <c r="R13" s="50"/>
      <c r="S13" s="237"/>
      <c r="T13" s="134"/>
      <c r="U13" s="227"/>
      <c r="V13" s="228"/>
      <c r="W13" s="131" t="s">
        <v>302</v>
      </c>
      <c r="X13" s="232"/>
      <c r="Y13" s="227"/>
      <c r="Z13" s="227"/>
      <c r="AA13" s="110"/>
      <c r="AB13" s="360" t="str">
        <f>VLOOKUP(AE13,'пр.взв.'!B$7:H$134,2,FALSE)</f>
        <v>КИЯТОВ Заур Шумафович</v>
      </c>
      <c r="AC13" s="360" t="str">
        <f>VLOOKUP(AE13,'пр.взв.'!B$7:H$134,3,FALSE)</f>
        <v>16.06.92, КМС</v>
      </c>
      <c r="AD13" s="360" t="str">
        <f>VLOOKUP(AE13,'пр.взв.'!B$7:H$134,4,FALSE)</f>
        <v>ЮФО</v>
      </c>
      <c r="AE13" s="401">
        <v>10</v>
      </c>
      <c r="AG13" s="165">
        <f>IF(K53=I46,I61,I46)</f>
        <v>47</v>
      </c>
      <c r="AH13" s="166">
        <f>IF(OR(K$20=A17,K$20=A19)," ",IF(E18=A17,A19,A17))</f>
        <v>57</v>
      </c>
      <c r="AI13" s="168">
        <f>IF(OR(AH10=" ",AH11=" ",AH12=" ",AH13=" "),AH14,AH13)</f>
        <v>57</v>
      </c>
      <c r="AJ13" s="166">
        <f>IF(OR(K$53=E30,K$53=E34)," ",IF(G32=E30,E34,E30))</f>
        <v>29</v>
      </c>
      <c r="AM13" s="165">
        <f>IF(N64=L63,L66,L63)</f>
        <v>60</v>
      </c>
    </row>
    <row r="14" spans="1:39" ht="12" customHeight="1" thickBot="1">
      <c r="A14" s="387"/>
      <c r="B14" s="373"/>
      <c r="C14" s="373"/>
      <c r="D14" s="373"/>
      <c r="E14" s="130">
        <v>41</v>
      </c>
      <c r="F14" s="139"/>
      <c r="G14" s="139"/>
      <c r="H14" s="154"/>
      <c r="I14" s="110"/>
      <c r="J14" s="133"/>
      <c r="K14" s="135"/>
      <c r="L14" s="357">
        <f>AG10</f>
        <v>59</v>
      </c>
      <c r="M14" s="357"/>
      <c r="N14" s="50"/>
      <c r="O14" s="50"/>
      <c r="P14" s="238"/>
      <c r="Q14" s="50"/>
      <c r="R14" s="50"/>
      <c r="S14" s="237"/>
      <c r="T14" s="134"/>
      <c r="U14" s="227"/>
      <c r="V14" s="232"/>
      <c r="W14" s="227"/>
      <c r="X14" s="232"/>
      <c r="Y14" s="227"/>
      <c r="Z14" s="227"/>
      <c r="AA14" s="130">
        <v>42</v>
      </c>
      <c r="AB14" s="361"/>
      <c r="AC14" s="361"/>
      <c r="AD14" s="361"/>
      <c r="AE14" s="399"/>
      <c r="AG14" s="165">
        <f>IF(S36=U20,U53,U20)</f>
        <v>28</v>
      </c>
      <c r="AH14" s="166">
        <f>IF(OR(K$20=A21,K$20=A23)," ",IF(E22=A21,A23,A21))</f>
        <v>37</v>
      </c>
      <c r="AI14" s="168">
        <f>IF(OR(AH10=" ",AH11=" ",AH12=" ",AH13=" ",AH14=" "),AH15,AH14)</f>
        <v>37</v>
      </c>
      <c r="AJ14" s="169"/>
      <c r="AM14" s="167" t="s">
        <v>71</v>
      </c>
    </row>
    <row r="15" spans="1:39" ht="12" customHeight="1" thickBot="1">
      <c r="A15" s="387">
        <v>41</v>
      </c>
      <c r="B15" s="361" t="str">
        <f>VLOOKUP(A15,'пр.взв.'!B$7:C$134,2,FALSE)</f>
        <v>ЛЕБЕДЕВ Георгий Андреевич</v>
      </c>
      <c r="C15" s="361" t="str">
        <f>VLOOKUP(A15,'пр.взв.'!B$7:H$134,3,FALSE)</f>
        <v>12.07.91. мсмк</v>
      </c>
      <c r="D15" s="361" t="str">
        <f>VLOOKUP(A15,'пр.взв.'!B$7:F$134,4,FALSE)</f>
        <v>ПФО</v>
      </c>
      <c r="E15" s="131" t="s">
        <v>303</v>
      </c>
      <c r="F15" s="143"/>
      <c r="G15" s="139"/>
      <c r="H15" s="155"/>
      <c r="I15" s="129"/>
      <c r="J15" s="133"/>
      <c r="K15" s="135"/>
      <c r="L15" s="239"/>
      <c r="M15" s="240"/>
      <c r="N15" s="241">
        <v>11</v>
      </c>
      <c r="O15" s="50"/>
      <c r="P15" s="242"/>
      <c r="Q15" s="241">
        <v>45</v>
      </c>
      <c r="R15" s="50"/>
      <c r="S15" s="243"/>
      <c r="T15" s="134"/>
      <c r="U15" s="227"/>
      <c r="V15" s="232"/>
      <c r="W15" s="227"/>
      <c r="X15" s="232"/>
      <c r="Y15" s="227"/>
      <c r="Z15" s="228"/>
      <c r="AA15" s="131" t="s">
        <v>302</v>
      </c>
      <c r="AB15" s="360" t="str">
        <f>VLOOKUP(AE15,'пр.взв.'!B$7:H$134,2,FALSE)</f>
        <v>ПАХОМОВ Иван Геннадьевич</v>
      </c>
      <c r="AC15" s="360" t="str">
        <f>VLOOKUP(AE15,'пр.взв.'!B$7:H$134,3,FALSE)</f>
        <v>03.10.94, МС</v>
      </c>
      <c r="AD15" s="360" t="str">
        <f>VLOOKUP(AE15,'пр.взв.'!B$7:H$134,4,FALSE)</f>
        <v>ЦФО</v>
      </c>
      <c r="AE15" s="399">
        <v>42</v>
      </c>
      <c r="AG15" s="165">
        <f>IF(M32=M36,S36,M36)</f>
        <v>14</v>
      </c>
      <c r="AH15" s="166">
        <f>IF(OR(K$20=A25,K$20=A27)," ",IF(E26=A25,A27,A25))</f>
        <v>53</v>
      </c>
      <c r="AI15" s="168">
        <f>IF(OR(AH10=" ",AH11=" ",AH12=" ",AH13=" ",AH14=" ",AH15=" "),AH16,AH15)</f>
        <v>53</v>
      </c>
      <c r="AJ15" s="169"/>
      <c r="AM15" s="165">
        <f>IF(O10=N8,N11,N8)</f>
        <v>21</v>
      </c>
    </row>
    <row r="16" spans="1:39" ht="12" customHeight="1" thickBot="1">
      <c r="A16" s="389"/>
      <c r="B16" s="373"/>
      <c r="C16" s="373"/>
      <c r="D16" s="373"/>
      <c r="E16" s="139"/>
      <c r="F16" s="145"/>
      <c r="G16" s="130">
        <v>41</v>
      </c>
      <c r="H16" s="156"/>
      <c r="I16" s="133"/>
      <c r="J16" s="133"/>
      <c r="K16" s="135"/>
      <c r="L16" s="80"/>
      <c r="M16" s="233"/>
      <c r="N16" s="234"/>
      <c r="O16" s="50"/>
      <c r="P16" s="238"/>
      <c r="Q16" s="234" t="s">
        <v>300</v>
      </c>
      <c r="R16" s="50"/>
      <c r="S16" s="237"/>
      <c r="T16" s="108"/>
      <c r="U16" s="227"/>
      <c r="V16" s="232"/>
      <c r="W16" s="227"/>
      <c r="X16" s="236"/>
      <c r="Y16" s="130">
        <v>26</v>
      </c>
      <c r="Z16" s="232"/>
      <c r="AA16" s="110"/>
      <c r="AB16" s="361"/>
      <c r="AC16" s="361"/>
      <c r="AD16" s="361"/>
      <c r="AE16" s="400"/>
      <c r="AH16" s="166" t="str">
        <f>IF(OR(K$20=A29,K$20=A31)," ",IF(E30=A29,A31,A29))</f>
        <v> </v>
      </c>
      <c r="AI16" s="168">
        <f>IF(OR(AH10=" ",AH11=" ",AH12=" ",AH13=" ",AH14=" ",AH15=" ",AH16=" "),AH17,AH16)</f>
        <v>61</v>
      </c>
      <c r="AJ16" s="169"/>
      <c r="AM16" s="165">
        <f>IF(O59=N57,N60,N57)</f>
        <v>38</v>
      </c>
    </row>
    <row r="17" spans="1:39" ht="12" customHeight="1" thickBot="1">
      <c r="A17" s="386">
        <v>25</v>
      </c>
      <c r="B17" s="388" t="str">
        <f>VLOOKUP(A17,'пр.взв.'!B$7:C$134,2,FALSE)</f>
        <v>КАЗАРЯН Тигран Седракович</v>
      </c>
      <c r="C17" s="388" t="str">
        <f>VLOOKUP(A17,'пр.взв.'!B$7:H$134,3,FALSE)</f>
        <v>14.02.87 мс</v>
      </c>
      <c r="D17" s="388" t="str">
        <f>VLOOKUP(A17,'пр.взв.'!B$7:F$134,4,FALSE)</f>
        <v>КФО</v>
      </c>
      <c r="E17" s="122"/>
      <c r="F17" s="139"/>
      <c r="G17" s="131" t="s">
        <v>300</v>
      </c>
      <c r="H17" s="144"/>
      <c r="I17" s="129"/>
      <c r="J17" s="133"/>
      <c r="K17" s="135"/>
      <c r="L17" s="357">
        <f>AG11</f>
        <v>11</v>
      </c>
      <c r="M17" s="358"/>
      <c r="N17" s="51"/>
      <c r="O17" s="241">
        <v>11</v>
      </c>
      <c r="P17" s="238"/>
      <c r="Q17" s="51"/>
      <c r="R17" s="50"/>
      <c r="S17" s="237"/>
      <c r="T17" s="108"/>
      <c r="U17" s="227"/>
      <c r="V17" s="232"/>
      <c r="W17" s="227"/>
      <c r="X17" s="227"/>
      <c r="Y17" s="131" t="s">
        <v>302</v>
      </c>
      <c r="Z17" s="232"/>
      <c r="AA17" s="110"/>
      <c r="AB17" s="360" t="str">
        <f>VLOOKUP(AE17,'пр.взв.'!B$7:H$134,2,FALSE)</f>
        <v>СУХОГУЗОВ Иван Сергеевич</v>
      </c>
      <c r="AC17" s="360" t="str">
        <f>VLOOKUP(AE17,'пр.взв.'!B$7:H$134,3,FALSE)</f>
        <v>19.02.92, МС</v>
      </c>
      <c r="AD17" s="360" t="str">
        <f>VLOOKUP(AE17,'пр.взв.'!B$7:H$134,4,FALSE)</f>
        <v>УФО</v>
      </c>
      <c r="AE17" s="401">
        <v>26</v>
      </c>
      <c r="AH17" s="166">
        <f>IF(OR(K$20=A33,K$20=A35)," ",IF(E34=A33,A35,A33))</f>
        <v>61</v>
      </c>
      <c r="AJ17" s="169"/>
      <c r="AM17" s="165">
        <f>IF(O17=N15,N18,N15)</f>
        <v>19</v>
      </c>
    </row>
    <row r="18" spans="1:39" ht="12" customHeight="1" thickBot="1">
      <c r="A18" s="387"/>
      <c r="B18" s="373"/>
      <c r="C18" s="373"/>
      <c r="D18" s="373"/>
      <c r="E18" s="130">
        <v>25</v>
      </c>
      <c r="F18" s="149"/>
      <c r="G18" s="139"/>
      <c r="H18" s="141"/>
      <c r="I18" s="133"/>
      <c r="J18" s="133"/>
      <c r="K18" s="135"/>
      <c r="L18" s="81"/>
      <c r="M18" s="229"/>
      <c r="N18" s="15">
        <f>AG12</f>
        <v>19</v>
      </c>
      <c r="O18" s="234" t="s">
        <v>302</v>
      </c>
      <c r="P18" s="238"/>
      <c r="Q18" s="51"/>
      <c r="R18" s="130">
        <v>28</v>
      </c>
      <c r="S18" s="237"/>
      <c r="T18" s="108"/>
      <c r="U18" s="227"/>
      <c r="V18" s="232"/>
      <c r="W18" s="227"/>
      <c r="X18" s="227"/>
      <c r="Y18" s="227"/>
      <c r="Z18" s="236"/>
      <c r="AA18" s="130">
        <v>26</v>
      </c>
      <c r="AB18" s="361"/>
      <c r="AC18" s="361"/>
      <c r="AD18" s="361"/>
      <c r="AE18" s="399"/>
      <c r="AH18" s="170"/>
      <c r="AI18" s="167" t="s">
        <v>69</v>
      </c>
      <c r="AJ18" s="169"/>
      <c r="AK18" s="167" t="s">
        <v>69</v>
      </c>
      <c r="AL18" s="167" t="s">
        <v>69</v>
      </c>
      <c r="AM18" s="165">
        <f>IF(O66=N64,N67,N64)</f>
        <v>4</v>
      </c>
    </row>
    <row r="19" spans="1:39" ht="12" customHeight="1" thickBot="1">
      <c r="A19" s="387">
        <v>57</v>
      </c>
      <c r="B19" s="368" t="e">
        <f>VLOOKUP(A19,'пр.взв.'!B$7:C$134,2,FALSE)</f>
        <v>#N/A</v>
      </c>
      <c r="C19" s="368" t="e">
        <f>VLOOKUP(A19,'пр.взв.'!B$7:H$134,3,FALSE)</f>
        <v>#N/A</v>
      </c>
      <c r="D19" s="368" t="e">
        <f>VLOOKUP(A19,'пр.взв.'!B$7:F$134,4,FALSE)</f>
        <v>#N/A</v>
      </c>
      <c r="E19" s="131"/>
      <c r="F19" s="139"/>
      <c r="G19" s="139"/>
      <c r="H19" s="144"/>
      <c r="I19" s="129"/>
      <c r="J19" s="133"/>
      <c r="K19" s="135"/>
      <c r="L19" s="81"/>
      <c r="M19" s="229"/>
      <c r="N19" s="50"/>
      <c r="O19" s="51"/>
      <c r="P19" s="156">
        <v>47</v>
      </c>
      <c r="Q19" s="51"/>
      <c r="R19" s="244" t="s">
        <v>303</v>
      </c>
      <c r="S19" s="237"/>
      <c r="T19" s="227"/>
      <c r="U19" s="227"/>
      <c r="V19" s="232"/>
      <c r="W19" s="227"/>
      <c r="X19" s="227"/>
      <c r="Y19" s="227"/>
      <c r="Z19" s="227"/>
      <c r="AA19" s="131"/>
      <c r="AB19" s="398" t="e">
        <f>VLOOKUP(AE19,'пр.взв.'!B$7:H$134,2,FALSE)</f>
        <v>#N/A</v>
      </c>
      <c r="AC19" s="398" t="e">
        <f>VLOOKUP(AE19,'пр.взв.'!B$7:H$134,3,FALSE)</f>
        <v>#N/A</v>
      </c>
      <c r="AD19" s="398" t="e">
        <f>VLOOKUP(AE19,'пр.взв.'!B$7:H$134,4,FALSE)</f>
        <v>#N/A</v>
      </c>
      <c r="AE19" s="399">
        <v>58</v>
      </c>
      <c r="AH19" s="166">
        <f>IF(OR(K$53=A38,K$53=A40)," ",IF(E39=A38,A40,A38))</f>
        <v>35</v>
      </c>
      <c r="AI19" s="168">
        <f>IF(AH19=" ",AH20,AH19)</f>
        <v>35</v>
      </c>
      <c r="AJ19" s="166">
        <f>IF(OR(K$53=E39,K$53=E43)," ",IF(G41=E39,E43,E39))</f>
        <v>3</v>
      </c>
      <c r="AK19" s="168">
        <f>IF(AJ19=" ",AJ20,AJ19)</f>
        <v>3</v>
      </c>
      <c r="AM19" s="167" t="s">
        <v>71</v>
      </c>
    </row>
    <row r="20" spans="1:39" ht="12" customHeight="1" thickBot="1">
      <c r="A20" s="389"/>
      <c r="B20" s="369"/>
      <c r="C20" s="369"/>
      <c r="D20" s="369"/>
      <c r="E20" s="139"/>
      <c r="F20" s="139"/>
      <c r="G20" s="139"/>
      <c r="H20" s="141"/>
      <c r="I20" s="133"/>
      <c r="J20" s="133"/>
      <c r="K20" s="130">
        <v>13</v>
      </c>
      <c r="L20" s="245"/>
      <c r="M20" s="243"/>
      <c r="N20" s="50"/>
      <c r="O20" s="15">
        <f>AG13</f>
        <v>47</v>
      </c>
      <c r="P20" s="246" t="s">
        <v>302</v>
      </c>
      <c r="Q20" s="51"/>
      <c r="R20" s="50"/>
      <c r="S20" s="237"/>
      <c r="T20" s="231"/>
      <c r="U20" s="130">
        <v>14</v>
      </c>
      <c r="V20" s="232"/>
      <c r="W20" s="227"/>
      <c r="X20" s="227"/>
      <c r="Y20" s="227"/>
      <c r="Z20" s="227"/>
      <c r="AA20" s="110"/>
      <c r="AB20" s="368"/>
      <c r="AC20" s="368"/>
      <c r="AD20" s="368"/>
      <c r="AE20" s="400"/>
      <c r="AH20" s="166">
        <f>IF(OR(K$53=A42,K$53=A44)," ",IF(E43=A42,A44,A42))</f>
        <v>51</v>
      </c>
      <c r="AI20" s="168">
        <f>IF(OR(AH18=" ",AH19=" ",AH20=" "),AH21,AH20)</f>
        <v>51</v>
      </c>
      <c r="AJ20" s="166" t="str">
        <f>IF(OR(K$53=E47,K$53=E51)," ",IF(G49=E47,E51,E47))</f>
        <v> </v>
      </c>
      <c r="AK20" s="168">
        <f>IF(OR(AJ18=" ",AJ19=" ",AJ20=" "),AJ21,AJ20)</f>
        <v>7</v>
      </c>
      <c r="AL20" s="165">
        <f>IF(AND(OR(K53=G41,K53=G49),I61=G57),G65,IF(AND(OR(K53=G41,K53=G49),I61=G65),G57,IF(I46=G41,G49,G41)))</f>
        <v>23</v>
      </c>
      <c r="AM20" s="165">
        <f>IF(P12=O10,O13,O10)</f>
        <v>41</v>
      </c>
    </row>
    <row r="21" spans="1:39" ht="12" customHeight="1" thickBot="1">
      <c r="A21" s="386">
        <v>5</v>
      </c>
      <c r="B21" s="388" t="str">
        <f>VLOOKUP(A21,'пр.взв.'!B$7:C$134,2,FALSE)</f>
        <v>ХЛОПЕЦКИЙ Владимир Анатольевич</v>
      </c>
      <c r="C21" s="388" t="str">
        <f>VLOOKUP(A21,'пр.взв.'!B$7:H$134,3,FALSE)</f>
        <v>27.11.87, МС</v>
      </c>
      <c r="D21" s="388" t="str">
        <f>VLOOKUP(A21,'пр.взв.'!B$7:F$134,4,FALSE)</f>
        <v>МОС</v>
      </c>
      <c r="E21" s="122"/>
      <c r="F21" s="122"/>
      <c r="G21" s="138"/>
      <c r="H21" s="138"/>
      <c r="I21" s="109"/>
      <c r="J21" s="109"/>
      <c r="K21" s="131" t="s">
        <v>300</v>
      </c>
      <c r="L21" s="102"/>
      <c r="M21" s="81"/>
      <c r="N21" s="81"/>
      <c r="O21" s="50"/>
      <c r="P21" s="81"/>
      <c r="Q21" s="15">
        <f>AG14</f>
        <v>28</v>
      </c>
      <c r="R21" s="247"/>
      <c r="S21" s="80"/>
      <c r="T21" s="135"/>
      <c r="U21" s="131" t="s">
        <v>300</v>
      </c>
      <c r="V21" s="232"/>
      <c r="W21" s="227"/>
      <c r="X21" s="227"/>
      <c r="Y21" s="227"/>
      <c r="Z21" s="227"/>
      <c r="AA21" s="110"/>
      <c r="AB21" s="360" t="str">
        <f>VLOOKUP(AE21,'пр.взв.'!B$7:H$134,2,FALSE)</f>
        <v>ОПРЯ Павел Иванович</v>
      </c>
      <c r="AC21" s="360" t="str">
        <f>VLOOKUP(AE21,'пр.взв.'!B$7:H$134,3,FALSE)</f>
        <v>16.02.89, МС</v>
      </c>
      <c r="AD21" s="360" t="str">
        <f>VLOOKUP(AE21,'пр.взв.'!B$7:H$134,4,FALSE)</f>
        <v>ДВФО</v>
      </c>
      <c r="AE21" s="401">
        <v>6</v>
      </c>
      <c r="AH21" s="166">
        <f>IF(OR(K$53=A46,K$53=A48)," ",IF(E47=A46,A48,A46))</f>
        <v>43</v>
      </c>
      <c r="AI21" s="168">
        <f>IF(OR(AH18=" ",AH19=" ",AH20=" ",AH21=" "),AH22,AH21)</f>
        <v>43</v>
      </c>
      <c r="AJ21" s="166">
        <f>IF(OR(K$53=E55,K$53=E59)," ",IF(G57=E55,E59,E55))</f>
        <v>7</v>
      </c>
      <c r="AK21" s="168">
        <f>IF(OR(AJ18=" ",AJ19=" ",AJ20=" ",AJ21=" "),AJ22,AJ21)</f>
        <v>31</v>
      </c>
      <c r="AM21" s="165">
        <f>IF(P61=O59,O62,O59)</f>
        <v>26</v>
      </c>
    </row>
    <row r="22" spans="1:39" ht="12" customHeight="1" thickBot="1">
      <c r="A22" s="387"/>
      <c r="B22" s="373"/>
      <c r="C22" s="373"/>
      <c r="D22" s="373"/>
      <c r="E22" s="130">
        <v>5</v>
      </c>
      <c r="F22" s="139"/>
      <c r="G22" s="140"/>
      <c r="H22" s="141"/>
      <c r="I22" s="153"/>
      <c r="J22" s="146"/>
      <c r="K22" s="157"/>
      <c r="L22" s="102"/>
      <c r="M22" s="81"/>
      <c r="N22" s="108"/>
      <c r="O22" s="227"/>
      <c r="P22" s="108"/>
      <c r="Q22" s="227"/>
      <c r="R22" s="134"/>
      <c r="S22" s="80"/>
      <c r="T22" s="135"/>
      <c r="U22" s="248"/>
      <c r="V22" s="232"/>
      <c r="W22" s="227"/>
      <c r="X22" s="227"/>
      <c r="Y22" s="227"/>
      <c r="Z22" s="227"/>
      <c r="AA22" s="130">
        <v>38</v>
      </c>
      <c r="AB22" s="361"/>
      <c r="AC22" s="361"/>
      <c r="AD22" s="361"/>
      <c r="AE22" s="399"/>
      <c r="AH22" s="166" t="str">
        <f>IF(OR(K$53=A50,K$53=A52)," ",IF(E51=A50,A52,A50))</f>
        <v> </v>
      </c>
      <c r="AI22" s="168">
        <f>IF(OR(AH18=" ",AH19=" ",AH20=" ",AH21=" ",AH22=" "),AH23,AH22)</f>
        <v>39</v>
      </c>
      <c r="AJ22" s="166">
        <f>IF(OR(K$53=E63,K$53=E67)," ",IF(G65=E63,E67,E63))</f>
        <v>31</v>
      </c>
      <c r="AM22" s="165">
        <f>IF(P19=O17,O20,O17)</f>
        <v>11</v>
      </c>
    </row>
    <row r="23" spans="1:39" ht="12" customHeight="1" thickBot="1">
      <c r="A23" s="387">
        <v>37</v>
      </c>
      <c r="B23" s="361" t="str">
        <f>VLOOKUP(A23,'пр.взв.'!B$7:C$134,2,FALSE)</f>
        <v>БОГДАНОВ Дмитрий Александрович</v>
      </c>
      <c r="C23" s="361" t="str">
        <f>VLOOKUP(A23,'пр.взв.'!B$7:H$134,3,FALSE)</f>
        <v>23.03.92, КМС</v>
      </c>
      <c r="D23" s="361" t="str">
        <f>VLOOKUP(A23,'пр.взв.'!B$7:F$134,4,FALSE)</f>
        <v>ЦФО</v>
      </c>
      <c r="E23" s="131" t="s">
        <v>300</v>
      </c>
      <c r="F23" s="143"/>
      <c r="G23" s="139"/>
      <c r="H23" s="144"/>
      <c r="I23" s="150"/>
      <c r="J23" s="153"/>
      <c r="K23" s="135"/>
      <c r="L23" s="102"/>
      <c r="M23" s="80"/>
      <c r="N23" s="108"/>
      <c r="O23" s="227"/>
      <c r="P23" s="108"/>
      <c r="Q23" s="227"/>
      <c r="R23" s="108"/>
      <c r="S23" s="80"/>
      <c r="T23" s="135"/>
      <c r="U23" s="248"/>
      <c r="V23" s="232"/>
      <c r="W23" s="227"/>
      <c r="X23" s="227"/>
      <c r="Y23" s="227"/>
      <c r="Z23" s="228"/>
      <c r="AA23" s="131" t="s">
        <v>303</v>
      </c>
      <c r="AB23" s="360" t="str">
        <f>VLOOKUP(AE23,'пр.взв.'!B$7:H$134,2,FALSE)</f>
        <v>ДЕМЬЯНЕНКО Сергей Александрович</v>
      </c>
      <c r="AC23" s="360" t="str">
        <f>VLOOKUP(AE23,'пр.взв.'!B$7:H$134,3,FALSE)</f>
        <v>13.02.92, МС</v>
      </c>
      <c r="AD23" s="360" t="str">
        <f>VLOOKUP(AE23,'пр.взв.'!B$7:H$134,4,FALSE)</f>
        <v>СФО</v>
      </c>
      <c r="AE23" s="399">
        <v>38</v>
      </c>
      <c r="AH23" s="166">
        <f>IF(OR(K$53=A54,K$53=A56)," ",IF(E55=A54,A56,A54))</f>
        <v>39</v>
      </c>
      <c r="AI23" s="168">
        <f>IF(OR(AH18=" ",AH19=" ",AH20=" ",AH21=" ",AH22=" ",AH23=" "),AH24,AH23)</f>
        <v>55</v>
      </c>
      <c r="AJ23" s="169"/>
      <c r="AM23" s="165">
        <f>IF(P68=O66,O69,O66)</f>
        <v>44</v>
      </c>
    </row>
    <row r="24" spans="1:39" ht="12" customHeight="1" thickBot="1">
      <c r="A24" s="389"/>
      <c r="B24" s="373"/>
      <c r="C24" s="373"/>
      <c r="D24" s="373"/>
      <c r="E24" s="139"/>
      <c r="F24" s="145"/>
      <c r="G24" s="130">
        <v>21</v>
      </c>
      <c r="H24" s="146"/>
      <c r="I24" s="153"/>
      <c r="J24" s="146"/>
      <c r="K24" s="135"/>
      <c r="L24" s="80"/>
      <c r="M24" s="57"/>
      <c r="N24" s="108"/>
      <c r="O24" s="133"/>
      <c r="P24" s="133"/>
      <c r="Q24" s="133"/>
      <c r="R24" s="133"/>
      <c r="S24" s="83"/>
      <c r="T24" s="135"/>
      <c r="U24" s="133"/>
      <c r="V24" s="232"/>
      <c r="W24" s="227"/>
      <c r="X24" s="227"/>
      <c r="Y24" s="130">
        <v>38</v>
      </c>
      <c r="Z24" s="232"/>
      <c r="AA24" s="110"/>
      <c r="AB24" s="361"/>
      <c r="AC24" s="361"/>
      <c r="AD24" s="361"/>
      <c r="AE24" s="400"/>
      <c r="AH24" s="166">
        <f>IF(OR(K$53=A58,K$53=A60)," ",IF(E59=A58,A60,A58))</f>
        <v>55</v>
      </c>
      <c r="AI24" s="168">
        <f>IF(OR(AH18=" ",AH19=" ",AH20=" ",AH21=" ",AH22=" ",AH23=" ",AH24=" "),AH25,AH24)</f>
        <v>15</v>
      </c>
      <c r="AJ24" s="169"/>
      <c r="AM24" s="167" t="s">
        <v>71</v>
      </c>
    </row>
    <row r="25" spans="1:39" ht="12" customHeight="1" thickBot="1">
      <c r="A25" s="386">
        <v>21</v>
      </c>
      <c r="B25" s="388" t="str">
        <f>VLOOKUP(A25,'пр.взв.'!B$7:C$134,2,FALSE)</f>
        <v>МАТЕВОСЯН Левон Эдуардович</v>
      </c>
      <c r="C25" s="388" t="str">
        <f>VLOOKUP(A25,'пр.взв.'!B$7:H$134,3,FALSE)</f>
        <v>30.10.1988 мс</v>
      </c>
      <c r="D25" s="388" t="str">
        <f>VLOOKUP(A25,'пр.взв.'!B$7:F$134,4,FALSE)</f>
        <v>ЮФО</v>
      </c>
      <c r="E25" s="122"/>
      <c r="F25" s="139"/>
      <c r="G25" s="131" t="s">
        <v>302</v>
      </c>
      <c r="H25" s="158"/>
      <c r="I25" s="146"/>
      <c r="J25" s="146"/>
      <c r="K25" s="157"/>
      <c r="L25" s="80"/>
      <c r="M25" s="57"/>
      <c r="N25" s="133"/>
      <c r="O25" s="153"/>
      <c r="P25" s="146"/>
      <c r="Q25" s="146"/>
      <c r="R25" s="134"/>
      <c r="S25" s="80"/>
      <c r="T25" s="135"/>
      <c r="U25" s="133"/>
      <c r="V25" s="232"/>
      <c r="W25" s="227"/>
      <c r="X25" s="228"/>
      <c r="Y25" s="131" t="s">
        <v>302</v>
      </c>
      <c r="Z25" s="232"/>
      <c r="AA25" s="110"/>
      <c r="AB25" s="360" t="str">
        <f>VLOOKUP(AE25,'пр.взв.'!B$7:H$134,2,FALSE)</f>
        <v>КОТОВ Максим Сергеевич</v>
      </c>
      <c r="AC25" s="360" t="str">
        <f>VLOOKUP(AE25,'пр.взв.'!B$7:H$134,3,FALSE)</f>
        <v>16.08.95, мс</v>
      </c>
      <c r="AD25" s="360" t="str">
        <f>VLOOKUP(AE25,'пр.взв.'!B$7:H$134,4,FALSE)</f>
        <v>ПФО</v>
      </c>
      <c r="AE25" s="401">
        <v>22</v>
      </c>
      <c r="AH25" s="166">
        <f>IF(OR(K$53=A62,K$53=A64)," ",IF(E63=A62,A64,A62))</f>
        <v>15</v>
      </c>
      <c r="AI25" s="168">
        <f>IF(OR(AH18=" ",AH19=" ",AH20=" ",AH21=" ",AH22=" ",AH23=" ",AH24=" ",AH25=" "),AH26,AH25)</f>
        <v>63</v>
      </c>
      <c r="AJ25" s="169"/>
      <c r="AM25" s="165">
        <f>IF('пр.хода'!Q15='пр.хода'!P12,'пр.хода'!P19,'пр.хода'!P12)</f>
        <v>47</v>
      </c>
    </row>
    <row r="26" spans="1:39" ht="12" customHeight="1" thickBot="1">
      <c r="A26" s="387"/>
      <c r="B26" s="373"/>
      <c r="C26" s="373"/>
      <c r="D26" s="373"/>
      <c r="E26" s="130">
        <v>21</v>
      </c>
      <c r="F26" s="149"/>
      <c r="G26" s="139"/>
      <c r="H26" s="159"/>
      <c r="I26" s="150"/>
      <c r="J26" s="146"/>
      <c r="K26" s="135"/>
      <c r="L26" s="80"/>
      <c r="M26" s="57"/>
      <c r="N26" s="133"/>
      <c r="O26" s="133"/>
      <c r="P26" s="125" t="s">
        <v>24</v>
      </c>
      <c r="Q26" s="133"/>
      <c r="R26" s="133"/>
      <c r="S26" s="80"/>
      <c r="T26" s="135"/>
      <c r="U26" s="133"/>
      <c r="V26" s="232"/>
      <c r="W26" s="227"/>
      <c r="X26" s="232"/>
      <c r="Y26" s="227"/>
      <c r="Z26" s="236"/>
      <c r="AA26" s="130">
        <v>22</v>
      </c>
      <c r="AB26" s="361"/>
      <c r="AC26" s="361"/>
      <c r="AD26" s="361"/>
      <c r="AE26" s="399"/>
      <c r="AH26" s="166">
        <f>IF(OR(K$53=A66,K$53=A68)," ",IF(E67=A66,A68,A66))</f>
        <v>63</v>
      </c>
      <c r="AJ26" s="169"/>
      <c r="AM26" s="165">
        <f>IF('пр.хода'!Q64='пр.хода'!P61,'пр.хода'!P68,'пр.хода'!P61)</f>
        <v>46</v>
      </c>
    </row>
    <row r="27" spans="1:39" ht="12" customHeight="1" thickBot="1">
      <c r="A27" s="387">
        <v>53</v>
      </c>
      <c r="B27" s="361" t="str">
        <f>VLOOKUP(A27,'пр.взв.'!B$7:C$134,2,FALSE)</f>
        <v>ХАТХОХУ Байзет Заурбиевич</v>
      </c>
      <c r="C27" s="361" t="str">
        <f>VLOOKUP(A27,'пр.взв.'!B$7:H$134,3,FALSE)</f>
        <v>19.01.91 кмс</v>
      </c>
      <c r="D27" s="361" t="str">
        <f>VLOOKUP(A27,'пр.взв.'!B$7:F$134,4,FALSE)</f>
        <v>ЮФО</v>
      </c>
      <c r="E27" s="131" t="s">
        <v>300</v>
      </c>
      <c r="F27" s="139"/>
      <c r="G27" s="139"/>
      <c r="H27" s="155"/>
      <c r="I27" s="150"/>
      <c r="J27" s="153"/>
      <c r="K27" s="135"/>
      <c r="L27" s="80"/>
      <c r="M27" s="57"/>
      <c r="N27" s="374" t="str">
        <f>VLOOKUP(R18,'пр.взв.'!B7:D134,2,FALSE)</f>
        <v>УЛЬЯХОВ Александр Александрович </v>
      </c>
      <c r="O27" s="375"/>
      <c r="P27" s="375"/>
      <c r="Q27" s="375"/>
      <c r="R27" s="376"/>
      <c r="S27" s="80"/>
      <c r="T27" s="135"/>
      <c r="U27" s="133"/>
      <c r="V27" s="232"/>
      <c r="W27" s="227"/>
      <c r="X27" s="232"/>
      <c r="Y27" s="227"/>
      <c r="Z27" s="227"/>
      <c r="AA27" s="131"/>
      <c r="AB27" s="398" t="e">
        <f>VLOOKUP(AE27,'пр.взв.'!B$7:H$134,2,FALSE)</f>
        <v>#N/A</v>
      </c>
      <c r="AC27" s="398" t="e">
        <f>VLOOKUP(AE27,'пр.взв.'!B$7:H$134,3,FALSE)</f>
        <v>#N/A</v>
      </c>
      <c r="AD27" s="398" t="e">
        <f>VLOOKUP(AE27,'пр.взв.'!B$7:H$134,4,FALSE)</f>
        <v>#N/A</v>
      </c>
      <c r="AE27" s="399">
        <v>54</v>
      </c>
      <c r="AH27" s="169"/>
      <c r="AI27" s="167" t="s">
        <v>68</v>
      </c>
      <c r="AJ27" s="169"/>
      <c r="AK27" s="167" t="s">
        <v>68</v>
      </c>
      <c r="AL27" s="167" t="s">
        <v>68</v>
      </c>
      <c r="AM27" s="167" t="s">
        <v>71</v>
      </c>
    </row>
    <row r="28" spans="1:39" ht="12" customHeight="1" thickBot="1">
      <c r="A28" s="389"/>
      <c r="B28" s="373"/>
      <c r="C28" s="373"/>
      <c r="D28" s="373"/>
      <c r="E28" s="139"/>
      <c r="F28" s="139"/>
      <c r="G28" s="145"/>
      <c r="H28" s="150"/>
      <c r="I28" s="130">
        <v>13</v>
      </c>
      <c r="J28" s="249"/>
      <c r="K28" s="135"/>
      <c r="L28" s="80"/>
      <c r="M28" s="57"/>
      <c r="N28" s="377"/>
      <c r="O28" s="378"/>
      <c r="P28" s="378"/>
      <c r="Q28" s="378"/>
      <c r="R28" s="379"/>
      <c r="S28" s="80"/>
      <c r="T28" s="135"/>
      <c r="U28" s="133"/>
      <c r="V28" s="236"/>
      <c r="W28" s="136">
        <v>14</v>
      </c>
      <c r="X28" s="232"/>
      <c r="Y28" s="227"/>
      <c r="Z28" s="227"/>
      <c r="AA28" s="110"/>
      <c r="AB28" s="368"/>
      <c r="AC28" s="368"/>
      <c r="AD28" s="368"/>
      <c r="AE28" s="400"/>
      <c r="AH28" s="166">
        <f>IF(OR(U$20=AE5,U$20=AE7)," ",IF(AA6=AE5,AE7,AE5))</f>
        <v>2</v>
      </c>
      <c r="AI28" s="168">
        <f>IF(AH28=" ",AH29,AH28)</f>
        <v>2</v>
      </c>
      <c r="AJ28" s="166">
        <f>IF(OR(U$20=AA6,U$20=AA10)," ",IF(Y8=AA6,AA10,AA6))</f>
        <v>34</v>
      </c>
      <c r="AK28" s="168">
        <f>IF(AJ28=" ",AJ29,AJ28)</f>
        <v>34</v>
      </c>
      <c r="AM28" s="165">
        <f>IF('пр.хода'!R18='пр.хода'!Q15,'пр.хода'!Q21,'пр.хода'!Q15)</f>
        <v>45</v>
      </c>
    </row>
    <row r="29" spans="1:39" ht="12" customHeight="1" thickBot="1">
      <c r="A29" s="386">
        <v>13</v>
      </c>
      <c r="B29" s="388" t="str">
        <f>VLOOKUP(A29,'пр.взв.'!B$7:C$134,2,FALSE)</f>
        <v>КОКОВИЧ Илья Игоревич</v>
      </c>
      <c r="C29" s="388" t="str">
        <f>VLOOKUP(A29,'пр.взв.'!B$7:H$134,3,FALSE)</f>
        <v>15.06.88, МСМК</v>
      </c>
      <c r="D29" s="388" t="str">
        <f>VLOOKUP(A29,'пр.взв.'!B$7:F$134,4,FALSE)</f>
        <v>МОС</v>
      </c>
      <c r="E29" s="122"/>
      <c r="F29" s="122"/>
      <c r="G29" s="139"/>
      <c r="H29" s="153"/>
      <c r="I29" s="131" t="s">
        <v>302</v>
      </c>
      <c r="J29" s="146"/>
      <c r="K29" s="133"/>
      <c r="L29" s="80"/>
      <c r="M29" s="57"/>
      <c r="N29" s="146"/>
      <c r="O29" s="133"/>
      <c r="P29" s="146"/>
      <c r="Q29" s="146"/>
      <c r="R29" s="134"/>
      <c r="S29" s="80"/>
      <c r="T29" s="135"/>
      <c r="U29" s="133"/>
      <c r="V29" s="227"/>
      <c r="W29" s="137" t="s">
        <v>302</v>
      </c>
      <c r="X29" s="232"/>
      <c r="Y29" s="227"/>
      <c r="Z29" s="227"/>
      <c r="AA29" s="110"/>
      <c r="AB29" s="360" t="str">
        <f>VLOOKUP(AE29,'пр.взв.'!B$7:H$134,2,FALSE)</f>
        <v>МАКСИМОВ Евгений Олегович</v>
      </c>
      <c r="AC29" s="360" t="str">
        <f>VLOOKUP(AE29,'пр.взв.'!B$7:H$134,3,FALSE)</f>
        <v>09.06.87, МС</v>
      </c>
      <c r="AD29" s="360" t="str">
        <f>VLOOKUP(AE29,'пр.взв.'!B$7:H$134,4,FALSE)</f>
        <v>ЦФО</v>
      </c>
      <c r="AE29" s="401">
        <v>14</v>
      </c>
      <c r="AH29" s="166">
        <f>IF(OR(U$20=AE9,U$20=AE11)," ",IF(AA10=AE9,AE11,AE9))</f>
        <v>18</v>
      </c>
      <c r="AI29" s="168">
        <f>IF(OR(AH28=" ",AH29=" "),AH30,AH29)</f>
        <v>18</v>
      </c>
      <c r="AJ29" s="166">
        <f>IF(OR(U$20=AA14,U$20=AA18)," ",IF(Y16=AA14,AA18,AA14))</f>
        <v>42</v>
      </c>
      <c r="AK29" s="168">
        <f>IF(OR(AJ28=" ",AJ29=" "),AJ30,AJ29)</f>
        <v>42</v>
      </c>
      <c r="AL29" s="165">
        <f>IF(AND(OR(U20=Y8,U20=Y16),W28=Y24),Y32,IF(AND(OR(U20=Y8,U20=Y16),W28=Y32),Y24,IF(W12=Y8,Y16,Y8)))</f>
        <v>50</v>
      </c>
      <c r="AM29" s="165">
        <f>IF('пр.хода'!R67='пр.хода'!Q64,'пр.хода'!Q69,'пр.хода'!Q64)</f>
        <v>13</v>
      </c>
    </row>
    <row r="30" spans="1:37" ht="12" customHeight="1" thickBot="1">
      <c r="A30" s="387"/>
      <c r="B30" s="373"/>
      <c r="C30" s="373"/>
      <c r="D30" s="373"/>
      <c r="E30" s="130">
        <v>13</v>
      </c>
      <c r="F30" s="139"/>
      <c r="G30" s="139"/>
      <c r="H30" s="154"/>
      <c r="I30" s="133"/>
      <c r="J30" s="108"/>
      <c r="K30" s="108"/>
      <c r="L30" s="80"/>
      <c r="M30" s="57"/>
      <c r="N30" s="133"/>
      <c r="O30" s="108"/>
      <c r="P30" s="153"/>
      <c r="Q30" s="146"/>
      <c r="R30" s="134"/>
      <c r="S30" s="80"/>
      <c r="T30" s="135"/>
      <c r="U30" s="133"/>
      <c r="V30" s="227"/>
      <c r="W30" s="227"/>
      <c r="X30" s="232"/>
      <c r="Y30" s="227"/>
      <c r="Z30" s="227"/>
      <c r="AA30" s="130">
        <v>14</v>
      </c>
      <c r="AB30" s="361"/>
      <c r="AC30" s="361"/>
      <c r="AD30" s="361"/>
      <c r="AE30" s="399"/>
      <c r="AH30" s="166">
        <f>IF(OR(U$20=AE13,U$20=AE15)," ",IF(AA14=AE13,AE15,AE13))</f>
        <v>10</v>
      </c>
      <c r="AI30" s="168">
        <f>IF(OR(AH28=" ",AH29=" ",AH30=" "),AH31,AH30)</f>
        <v>10</v>
      </c>
      <c r="AJ30" s="166">
        <f>IF(OR(U$20=AA22,U$20=AA26)," ",IF(Y24=AA22,AA26,AA22))</f>
        <v>22</v>
      </c>
      <c r="AK30" s="168">
        <f>IF(OR(AJ28=" ",AJ29=" ",AJ30=" "),AJ31,AJ30)</f>
        <v>22</v>
      </c>
    </row>
    <row r="31" spans="1:36" ht="12" customHeight="1" thickBot="1">
      <c r="A31" s="387">
        <v>45</v>
      </c>
      <c r="B31" s="361" t="str">
        <f>VLOOKUP(A31,'пр.взв.'!B$7:C$134,2,FALSE)</f>
        <v>ДЁМИН Антон Александрович</v>
      </c>
      <c r="C31" s="361" t="str">
        <f>VLOOKUP(A31,'пр.взв.'!B$7:H$134,3,FALSE)</f>
        <v>16.10.89, МС</v>
      </c>
      <c r="D31" s="361" t="str">
        <f>VLOOKUP(A31,'пр.взв.'!B$7:F$134,4,FALSE)</f>
        <v>ПФО</v>
      </c>
      <c r="E31" s="131" t="s">
        <v>303</v>
      </c>
      <c r="F31" s="143"/>
      <c r="G31" s="139"/>
      <c r="H31" s="155"/>
      <c r="I31" s="129"/>
      <c r="J31" s="108"/>
      <c r="K31" s="108"/>
      <c r="L31" s="80"/>
      <c r="M31" s="57"/>
      <c r="N31" s="133"/>
      <c r="O31" s="133"/>
      <c r="P31" s="125" t="s">
        <v>27</v>
      </c>
      <c r="Q31" s="108"/>
      <c r="R31" s="108"/>
      <c r="S31" s="80"/>
      <c r="T31" s="135"/>
      <c r="U31" s="133"/>
      <c r="V31" s="227"/>
      <c r="W31" s="227"/>
      <c r="X31" s="232"/>
      <c r="Y31" s="227"/>
      <c r="Z31" s="228"/>
      <c r="AA31" s="131" t="s">
        <v>302</v>
      </c>
      <c r="AB31" s="360" t="str">
        <f>VLOOKUP(AE31,'пр.взв.'!B$7:H$134,2,FALSE)</f>
        <v>МОШЕНКО Никита Валерьевич</v>
      </c>
      <c r="AC31" s="360" t="str">
        <f>VLOOKUP(AE31,'пр.взв.'!B$7:H$134,3,FALSE)</f>
        <v>27.12.90, МС</v>
      </c>
      <c r="AD31" s="360" t="str">
        <f>VLOOKUP(AE31,'пр.взв.'!B$7:H$134,4,FALSE)</f>
        <v>МОС</v>
      </c>
      <c r="AE31" s="399">
        <v>46</v>
      </c>
      <c r="AH31" s="166">
        <f>IF(OR(U$20=AE17,U$20=AE19)," ",IF(AA18=AE17,AE19,AE17))</f>
        <v>58</v>
      </c>
      <c r="AI31" s="168">
        <f>IF(OR(AH28=" ",AH29=" ",AH30=" ",AH31=" "),AH32,AH31)</f>
        <v>58</v>
      </c>
      <c r="AJ31" s="166" t="str">
        <f>IF(OR(U$20=AA30,U$20=AA34)," ",IF(Y32=AA30,AA34,AA30))</f>
        <v> </v>
      </c>
    </row>
    <row r="32" spans="1:36" ht="12" customHeight="1" thickBot="1">
      <c r="A32" s="389"/>
      <c r="B32" s="373"/>
      <c r="C32" s="373"/>
      <c r="D32" s="373"/>
      <c r="E32" s="139"/>
      <c r="F32" s="145"/>
      <c r="G32" s="130">
        <v>13</v>
      </c>
      <c r="H32" s="156"/>
      <c r="I32" s="133"/>
      <c r="J32" s="108"/>
      <c r="K32" s="108"/>
      <c r="L32" s="80"/>
      <c r="M32" s="250">
        <v>27</v>
      </c>
      <c r="N32" s="133"/>
      <c r="O32" s="133"/>
      <c r="P32" s="108"/>
      <c r="Q32" s="108"/>
      <c r="R32" s="108"/>
      <c r="S32" s="80"/>
      <c r="T32" s="135"/>
      <c r="U32" s="133"/>
      <c r="V32" s="227"/>
      <c r="W32" s="227"/>
      <c r="X32" s="236"/>
      <c r="Y32" s="130">
        <v>14</v>
      </c>
      <c r="Z32" s="232"/>
      <c r="AA32" s="110"/>
      <c r="AB32" s="361"/>
      <c r="AC32" s="361"/>
      <c r="AD32" s="361"/>
      <c r="AE32" s="400"/>
      <c r="AH32" s="166">
        <f>IF(OR(U$20=AE21,U$20=AE23)," ",IF(AA22=AE21,AE23,AE21))</f>
        <v>6</v>
      </c>
      <c r="AI32" s="168">
        <f>IF(OR(AH28=" ",AH29=" ",AH30=" ",AH31=" ",AH32=" "),AH33,AH32)</f>
        <v>6</v>
      </c>
      <c r="AJ32" s="169"/>
    </row>
    <row r="33" spans="1:36" ht="12" customHeight="1" thickBot="1">
      <c r="A33" s="386">
        <v>29</v>
      </c>
      <c r="B33" s="388" t="str">
        <f>VLOOKUP(A33,'пр.взв.'!B$7:C$134,2,FALSE)</f>
        <v>ГЕРЕКОВ Рустам Магомедрасулович</v>
      </c>
      <c r="C33" s="388" t="str">
        <f>VLOOKUP(A33,'пр.взв.'!B$7:H$134,3,FALSE)</f>
        <v>25.07.95, МС</v>
      </c>
      <c r="D33" s="388" t="str">
        <f>VLOOKUP(A33,'пр.взв.'!B$7:F$134,4,FALSE)</f>
        <v>СПБ</v>
      </c>
      <c r="E33" s="122"/>
      <c r="F33" s="139"/>
      <c r="G33" s="131" t="s">
        <v>300</v>
      </c>
      <c r="H33" s="144"/>
      <c r="I33" s="129"/>
      <c r="J33" s="108"/>
      <c r="K33" s="108"/>
      <c r="L33" s="80"/>
      <c r="M33" s="57"/>
      <c r="N33" s="392" t="str">
        <f>VLOOKUP(M32,'пр.взв.'!B7:H134,2,FALSE)</f>
        <v>КИРЮХИН Сергей Александрович</v>
      </c>
      <c r="O33" s="393"/>
      <c r="P33" s="393"/>
      <c r="Q33" s="393"/>
      <c r="R33" s="394"/>
      <c r="S33" s="80"/>
      <c r="T33" s="135"/>
      <c r="U33" s="133"/>
      <c r="V33" s="227"/>
      <c r="W33" s="227"/>
      <c r="X33" s="227"/>
      <c r="Y33" s="131" t="s">
        <v>300</v>
      </c>
      <c r="Z33" s="232"/>
      <c r="AA33" s="110"/>
      <c r="AB33" s="360" t="str">
        <f>VLOOKUP(AE33,'пр.взв.'!B$7:H$134,2,FALSE)</f>
        <v>ЕРМОЛАЕВ Сергей Алексеевич </v>
      </c>
      <c r="AC33" s="360" t="str">
        <f>VLOOKUP(AE33,'пр.взв.'!B$7:H$134,3,FALSE)</f>
        <v>14.07.89 мс</v>
      </c>
      <c r="AD33" s="360" t="str">
        <f>VLOOKUP(AE33,'пр.взв.'!B$7:H$134,4,FALSE)</f>
        <v>КФО</v>
      </c>
      <c r="AE33" s="401">
        <v>30</v>
      </c>
      <c r="AH33" s="166">
        <f>IF(OR(U$20=AE25,U$20=AE27)," ",IF(AA26=AE25,AE27,AE25))</f>
        <v>54</v>
      </c>
      <c r="AI33" s="168">
        <f>IF(OR(AH28=" ",AH29=" ",AH30=" ",AH31=" ",AH32=" ",AH33=" "),AH34,AH33)</f>
        <v>54</v>
      </c>
      <c r="AJ33" s="169"/>
    </row>
    <row r="34" spans="1:36" ht="12" customHeight="1" thickBot="1">
      <c r="A34" s="387"/>
      <c r="B34" s="373"/>
      <c r="C34" s="373"/>
      <c r="D34" s="373"/>
      <c r="E34" s="130">
        <v>29</v>
      </c>
      <c r="F34" s="149"/>
      <c r="G34" s="139"/>
      <c r="H34" s="141"/>
      <c r="I34" s="133"/>
      <c r="J34" s="108"/>
      <c r="K34" s="108"/>
      <c r="L34" s="80"/>
      <c r="M34" s="57"/>
      <c r="N34" s="395"/>
      <c r="O34" s="396"/>
      <c r="P34" s="396"/>
      <c r="Q34" s="396"/>
      <c r="R34" s="397"/>
      <c r="S34" s="80"/>
      <c r="T34" s="135"/>
      <c r="U34" s="108"/>
      <c r="V34" s="227"/>
      <c r="W34" s="227"/>
      <c r="X34" s="227"/>
      <c r="Y34" s="227"/>
      <c r="Z34" s="236"/>
      <c r="AA34" s="130">
        <v>30</v>
      </c>
      <c r="AB34" s="361"/>
      <c r="AC34" s="361"/>
      <c r="AD34" s="361"/>
      <c r="AE34" s="399"/>
      <c r="AH34" s="166" t="str">
        <f>IF(OR(U$20=AE29,U$20=AE31)," ",IF(AA30=AE29,AE31,AE29))</f>
        <v> </v>
      </c>
      <c r="AI34" s="168">
        <f>IF(OR(AH28=" ",AH29=" ",AH30=" ",AH31=" ",AH32=" ",AH33=" ",AH34=" "),AH35,AH34)</f>
        <v>62</v>
      </c>
      <c r="AJ34" s="169"/>
    </row>
    <row r="35" spans="1:36" ht="12" customHeight="1" thickBot="1">
      <c r="A35" s="387">
        <v>61</v>
      </c>
      <c r="B35" s="368" t="e">
        <f>VLOOKUP(A35,'пр.взв.'!B$7:C$134,2,FALSE)</f>
        <v>#N/A</v>
      </c>
      <c r="C35" s="368" t="e">
        <f>VLOOKUP(A35,'пр.взв.'!B$7:H$134,3,FALSE)</f>
        <v>#N/A</v>
      </c>
      <c r="D35" s="368" t="e">
        <f>VLOOKUP(A35,'пр.взв.'!B$7:F$134,4,FALSE)</f>
        <v>#N/A</v>
      </c>
      <c r="E35" s="131"/>
      <c r="F35" s="139"/>
      <c r="G35" s="139"/>
      <c r="H35" s="144"/>
      <c r="I35" s="129"/>
      <c r="J35" s="108"/>
      <c r="K35" s="108"/>
      <c r="L35" s="80"/>
      <c r="M35" s="57"/>
      <c r="N35" s="133"/>
      <c r="O35" s="133"/>
      <c r="P35" s="251" t="s">
        <v>303</v>
      </c>
      <c r="Q35" s="108"/>
      <c r="R35" s="108"/>
      <c r="S35" s="81"/>
      <c r="T35" s="135"/>
      <c r="U35" s="108"/>
      <c r="V35" s="227"/>
      <c r="W35" s="227"/>
      <c r="X35" s="227"/>
      <c r="Y35" s="227"/>
      <c r="Z35" s="227"/>
      <c r="AA35" s="131"/>
      <c r="AB35" s="398" t="e">
        <f>VLOOKUP(AE35,'пр.взв.'!B$7:H$134,2,FALSE)</f>
        <v>#N/A</v>
      </c>
      <c r="AC35" s="398" t="e">
        <f>VLOOKUP(AE35,'пр.взв.'!B$7:H$134,3,FALSE)</f>
        <v>#N/A</v>
      </c>
      <c r="AD35" s="398" t="e">
        <f>VLOOKUP(AE35,'пр.взв.'!B$7:H$134,4,FALSE)</f>
        <v>#N/A</v>
      </c>
      <c r="AE35" s="399">
        <v>62</v>
      </c>
      <c r="AH35" s="166">
        <f>IF(OR(U$20=AE33,U$20=AE35)," ",IF(AA34=AE33,AE35,AE33))</f>
        <v>62</v>
      </c>
      <c r="AJ35" s="169"/>
    </row>
    <row r="36" spans="1:38" ht="12" customHeight="1" thickBot="1">
      <c r="A36" s="389"/>
      <c r="B36" s="370"/>
      <c r="C36" s="370"/>
      <c r="D36" s="370"/>
      <c r="E36" s="139"/>
      <c r="F36" s="139"/>
      <c r="G36" s="139"/>
      <c r="H36" s="141"/>
      <c r="I36" s="133"/>
      <c r="J36" s="108"/>
      <c r="K36" s="108"/>
      <c r="L36" s="80"/>
      <c r="M36" s="252">
        <v>27</v>
      </c>
      <c r="N36" s="133"/>
      <c r="O36" s="133"/>
      <c r="P36" s="108"/>
      <c r="Q36" s="108"/>
      <c r="R36" s="108"/>
      <c r="S36" s="253">
        <v>14</v>
      </c>
      <c r="T36" s="135"/>
      <c r="U36" s="108"/>
      <c r="V36" s="227"/>
      <c r="W36" s="227"/>
      <c r="X36" s="227"/>
      <c r="Y36" s="227"/>
      <c r="Z36" s="227"/>
      <c r="AA36" s="110"/>
      <c r="AB36" s="368"/>
      <c r="AC36" s="368"/>
      <c r="AD36" s="368"/>
      <c r="AE36" s="400"/>
      <c r="AH36" s="169"/>
      <c r="AI36" s="167" t="s">
        <v>67</v>
      </c>
      <c r="AJ36" s="169"/>
      <c r="AK36" s="167" t="s">
        <v>67</v>
      </c>
      <c r="AL36" s="167" t="s">
        <v>67</v>
      </c>
    </row>
    <row r="37" spans="1:36" ht="3" customHeight="1" thickBot="1">
      <c r="A37" s="123"/>
      <c r="B37" s="121"/>
      <c r="C37" s="121"/>
      <c r="D37" s="122"/>
      <c r="E37" s="139"/>
      <c r="F37" s="139"/>
      <c r="G37" s="139"/>
      <c r="H37" s="133"/>
      <c r="I37" s="150"/>
      <c r="J37" s="108"/>
      <c r="K37" s="108"/>
      <c r="L37" s="80"/>
      <c r="M37" s="254"/>
      <c r="N37" s="133"/>
      <c r="O37" s="133"/>
      <c r="P37" s="108"/>
      <c r="Q37" s="108"/>
      <c r="R37" s="108"/>
      <c r="S37" s="254"/>
      <c r="T37" s="135"/>
      <c r="U37" s="108"/>
      <c r="V37" s="227"/>
      <c r="W37" s="227"/>
      <c r="X37" s="227"/>
      <c r="Y37" s="227"/>
      <c r="Z37" s="227"/>
      <c r="AA37" s="110"/>
      <c r="AB37" s="121"/>
      <c r="AC37" s="121"/>
      <c r="AD37" s="122"/>
      <c r="AE37" s="123"/>
      <c r="AH37" s="169">
        <f>IF(OR(U$20=AE32,U$20=AE34)," ",IF(AA33=AE32,AE34,AE32))</f>
        <v>0</v>
      </c>
      <c r="AJ37" s="169"/>
    </row>
    <row r="38" spans="1:37" ht="12" customHeight="1" thickBot="1">
      <c r="A38" s="386">
        <v>3</v>
      </c>
      <c r="B38" s="388" t="str">
        <f>VLOOKUP(A38,'пр.взв.'!B7:H134,2,FALSE)</f>
        <v>ВИНОГРАДОВ Иван Владимирович</v>
      </c>
      <c r="C38" s="388" t="str">
        <f>VLOOKUP(A38,'пр.взв.'!B7:H134,3,FALSE)</f>
        <v>28.02.90, МС</v>
      </c>
      <c r="D38" s="388" t="str">
        <f>VLOOKUP(A38,'пр.взв.'!B7:H134,4,FALSE)</f>
        <v>ЦФО</v>
      </c>
      <c r="E38" s="122"/>
      <c r="F38" s="122"/>
      <c r="G38" s="138"/>
      <c r="H38" s="108"/>
      <c r="I38" s="148"/>
      <c r="J38" s="133"/>
      <c r="K38" s="108"/>
      <c r="L38" s="80"/>
      <c r="M38" s="255" t="s">
        <v>302</v>
      </c>
      <c r="N38" s="133"/>
      <c r="O38" s="133"/>
      <c r="P38" s="108"/>
      <c r="Q38" s="108"/>
      <c r="R38" s="108"/>
      <c r="S38" s="255" t="s">
        <v>302</v>
      </c>
      <c r="T38" s="135"/>
      <c r="U38" s="108"/>
      <c r="V38" s="227"/>
      <c r="W38" s="227"/>
      <c r="X38" s="227"/>
      <c r="Y38" s="227"/>
      <c r="Z38" s="227"/>
      <c r="AA38" s="110"/>
      <c r="AB38" s="360" t="str">
        <f>VLOOKUP(AE38,'пр.взв.'!B$7:H$134,2,FALSE)</f>
        <v>ТЫЩЕНКО  Никита Викторович</v>
      </c>
      <c r="AC38" s="360" t="str">
        <f>VLOOKUP(AE38,'пр.взв.'!B$7:H$134,3,FALSE)</f>
        <v>13.04.1990, мс</v>
      </c>
      <c r="AD38" s="360" t="str">
        <f>VLOOKUP(AE38,'пр.взв.'!B$7:H$134,4,FALSE)</f>
        <v>СЕВ</v>
      </c>
      <c r="AE38" s="401">
        <v>4</v>
      </c>
      <c r="AH38" s="166">
        <f>IF(OR(U$53=AE38,U$53=AE40)," ",IF(AA39=AE38,AE40,AE38))</f>
        <v>36</v>
      </c>
      <c r="AI38" s="168">
        <f>IF(AH38=" ",AH39,AH38)</f>
        <v>36</v>
      </c>
      <c r="AJ38" s="166">
        <f>IF(OR(U$53=AA39,U$53=AA43)," ",IF(Y41=AA39,AA43,AA39))</f>
        <v>52</v>
      </c>
      <c r="AK38" s="168">
        <f>IF(AJ38=" ",AJ39,AJ38)</f>
        <v>52</v>
      </c>
    </row>
    <row r="39" spans="1:38" ht="12" customHeight="1" thickBot="1">
      <c r="A39" s="387"/>
      <c r="B39" s="373"/>
      <c r="C39" s="373"/>
      <c r="D39" s="373"/>
      <c r="E39" s="130">
        <v>3</v>
      </c>
      <c r="F39" s="139"/>
      <c r="G39" s="140"/>
      <c r="H39" s="141"/>
      <c r="I39" s="153"/>
      <c r="J39" s="125"/>
      <c r="K39" s="108"/>
      <c r="L39" s="80"/>
      <c r="M39" s="57"/>
      <c r="N39" s="108"/>
      <c r="O39" s="108"/>
      <c r="P39" s="125" t="s">
        <v>64</v>
      </c>
      <c r="Q39" s="108"/>
      <c r="R39" s="108"/>
      <c r="S39" s="81"/>
      <c r="T39" s="135"/>
      <c r="U39" s="108"/>
      <c r="V39" s="227"/>
      <c r="W39" s="227"/>
      <c r="X39" s="227"/>
      <c r="Y39" s="227"/>
      <c r="Z39" s="227"/>
      <c r="AA39" s="130">
        <v>4</v>
      </c>
      <c r="AB39" s="361"/>
      <c r="AC39" s="361"/>
      <c r="AD39" s="361"/>
      <c r="AE39" s="399"/>
      <c r="AH39" s="166">
        <f>IF(OR(U$53=AE42,U$53=AE44)," ",IF(AA43=AE42,AE44,AE42))</f>
        <v>20</v>
      </c>
      <c r="AI39" s="168">
        <f>IF(OR(AH38=" ",AH39=" "),AH40,AH39)</f>
        <v>20</v>
      </c>
      <c r="AJ39" s="166" t="str">
        <f>IF(OR(U$53=AA47,U$53=AA51)," ",IF(Y49=AA47,AA51,AA47))</f>
        <v> </v>
      </c>
      <c r="AK39" s="168">
        <f>IF(OR(AJ38=" ",AJ39=" "),AJ40,AJ39)</f>
        <v>24</v>
      </c>
      <c r="AL39" s="165">
        <f>IF(AND(OR(U53=Y41,U53=Y49),W61=Y57),Y65,IF(AND(OR(U53=Y41,U53=Y49),W61=Y65),Y57,IF(W45=Y41,Y49,Y41)))</f>
        <v>40</v>
      </c>
    </row>
    <row r="40" spans="1:43" ht="12" customHeight="1" thickBot="1">
      <c r="A40" s="387">
        <v>35</v>
      </c>
      <c r="B40" s="361" t="str">
        <f>VLOOKUP(A40,'пр.взв.'!B9:H136,2,FALSE)</f>
        <v>АБДОКОВ Ринат Рамазанович</v>
      </c>
      <c r="C40" s="361" t="str">
        <f>VLOOKUP(A40,'пр.взв.'!B9:H136,3,FALSE)</f>
        <v>15.05.90, КМС</v>
      </c>
      <c r="D40" s="361" t="str">
        <f>VLOOKUP(A40,'пр.взв.'!B9:H136,4,FALSE)</f>
        <v>СКФО</v>
      </c>
      <c r="E40" s="131" t="s">
        <v>300</v>
      </c>
      <c r="F40" s="143"/>
      <c r="G40" s="139"/>
      <c r="H40" s="144"/>
      <c r="I40" s="150"/>
      <c r="J40" s="133"/>
      <c r="K40" s="108"/>
      <c r="L40" s="80"/>
      <c r="M40" s="250">
        <v>14</v>
      </c>
      <c r="N40" s="133"/>
      <c r="O40" s="133"/>
      <c r="P40" s="108"/>
      <c r="Q40" s="108"/>
      <c r="R40" s="108"/>
      <c r="S40" s="81"/>
      <c r="T40" s="135"/>
      <c r="U40" s="108"/>
      <c r="V40" s="227"/>
      <c r="W40" s="227"/>
      <c r="X40" s="227"/>
      <c r="Y40" s="227"/>
      <c r="Z40" s="228"/>
      <c r="AA40" s="131" t="s">
        <v>300</v>
      </c>
      <c r="AB40" s="360" t="str">
        <f>VLOOKUP(AE40,'пр.взв.'!B$7:H$134,2,FALSE)</f>
        <v>НОВИКОВ Семён Сергеевич</v>
      </c>
      <c r="AC40" s="360" t="str">
        <f>VLOOKUP(AE40,'пр.взв.'!B$7:H$134,3,FALSE)</f>
        <v>07.08.95, МС</v>
      </c>
      <c r="AD40" s="360" t="str">
        <f>VLOOKUP(AE40,'пр.взв.'!B$7:H$134,4,FALSE)</f>
        <v>МОС</v>
      </c>
      <c r="AE40" s="399">
        <v>36</v>
      </c>
      <c r="AF40" s="171"/>
      <c r="AG40" s="171"/>
      <c r="AH40" s="166">
        <f>IF(OR(U$53=AE46,U$53=AE48)," ",IF(AA47=AE46,AE48,AE46))</f>
        <v>12</v>
      </c>
      <c r="AI40" s="168">
        <f>IF(OR(AH38=" ",AH39=" ",AH40=" "),AH41,AH40)</f>
        <v>12</v>
      </c>
      <c r="AJ40" s="166">
        <f>IF(OR(U$53=AA55,U$53=AA59)," ",IF(Y57=AA55,AA59,AA55))</f>
        <v>24</v>
      </c>
      <c r="AK40" s="168">
        <f>IF(OR(AJ38=" ",AJ39=" ",AJ40=" "),AJ41,AJ40)</f>
        <v>32</v>
      </c>
      <c r="AL40" s="171"/>
      <c r="AM40" s="171"/>
      <c r="AN40" s="171"/>
      <c r="AO40" s="12"/>
      <c r="AP40" s="12"/>
      <c r="AQ40" s="12"/>
    </row>
    <row r="41" spans="1:43" ht="12" customHeight="1" thickBot="1">
      <c r="A41" s="389"/>
      <c r="B41" s="373"/>
      <c r="C41" s="373"/>
      <c r="D41" s="373"/>
      <c r="E41" s="139"/>
      <c r="F41" s="145"/>
      <c r="G41" s="130">
        <v>19</v>
      </c>
      <c r="H41" s="146"/>
      <c r="I41" s="153"/>
      <c r="J41" s="133"/>
      <c r="K41" s="108"/>
      <c r="L41" s="80"/>
      <c r="M41" s="57"/>
      <c r="N41" s="380" t="str">
        <f>VLOOKUP(M40,'пр.взв.'!B7:H148,2,FALSE)</f>
        <v>МАКСИМОВ Евгений Олегович</v>
      </c>
      <c r="O41" s="381"/>
      <c r="P41" s="381"/>
      <c r="Q41" s="381"/>
      <c r="R41" s="382"/>
      <c r="S41" s="81"/>
      <c r="T41" s="135"/>
      <c r="U41" s="108"/>
      <c r="V41" s="227"/>
      <c r="W41" s="227"/>
      <c r="X41" s="231"/>
      <c r="Y41" s="130">
        <v>4</v>
      </c>
      <c r="Z41" s="232"/>
      <c r="AA41" s="110"/>
      <c r="AB41" s="361"/>
      <c r="AC41" s="361"/>
      <c r="AD41" s="361"/>
      <c r="AE41" s="400"/>
      <c r="AF41" s="171"/>
      <c r="AG41" s="171"/>
      <c r="AH41" s="166" t="str">
        <f>IF(OR(U$53=AE50,U$53=AE52)," ",IF(AA51=AE50,AE52,AE50))</f>
        <v> </v>
      </c>
      <c r="AI41" s="168">
        <f>IF(OR(AH38=" ",AH39=" ",AH40=" ",AH41=" "),AH42,AH41)</f>
        <v>8</v>
      </c>
      <c r="AJ41" s="166">
        <f>IF(OR(U$53=AA63,U$53=AA67)," ",IF(Y65=AA63,AA67,AA63))</f>
        <v>32</v>
      </c>
      <c r="AK41" s="171"/>
      <c r="AL41" s="171"/>
      <c r="AM41" s="171"/>
      <c r="AN41" s="171"/>
      <c r="AO41" s="12"/>
      <c r="AP41" s="12"/>
      <c r="AQ41" s="12"/>
    </row>
    <row r="42" spans="1:43" ht="12" customHeight="1" thickBot="1">
      <c r="A42" s="386">
        <v>19</v>
      </c>
      <c r="B42" s="388" t="str">
        <f>VLOOKUP(A42,'пр.взв.'!B11:H138,2,FALSE)</f>
        <v>ГАЛСТЯН Самвел Мкртичович</v>
      </c>
      <c r="C42" s="388" t="str">
        <f>VLOOKUP(A42,'пр.взв.'!B11:H138,3,FALSE)</f>
        <v>22.07.93 мс</v>
      </c>
      <c r="D42" s="388" t="str">
        <f>VLOOKUP(A42,'пр.взв.'!B11:H138,4,FALSE)</f>
        <v>ЮФО</v>
      </c>
      <c r="E42" s="122"/>
      <c r="F42" s="139"/>
      <c r="G42" s="131" t="s">
        <v>302</v>
      </c>
      <c r="H42" s="147"/>
      <c r="I42" s="160"/>
      <c r="J42" s="133"/>
      <c r="K42" s="108"/>
      <c r="L42" s="80"/>
      <c r="M42" s="57"/>
      <c r="N42" s="383"/>
      <c r="O42" s="384"/>
      <c r="P42" s="384"/>
      <c r="Q42" s="384"/>
      <c r="R42" s="385"/>
      <c r="S42" s="81"/>
      <c r="T42" s="135"/>
      <c r="U42" s="108"/>
      <c r="V42" s="227"/>
      <c r="W42" s="227"/>
      <c r="X42" s="232"/>
      <c r="Y42" s="131" t="s">
        <v>302</v>
      </c>
      <c r="Z42" s="232"/>
      <c r="AA42" s="110"/>
      <c r="AB42" s="360" t="str">
        <f>VLOOKUP(AE42,'пр.взв.'!B$7:H$134,2,FALSE)</f>
        <v>БАШКИРОВ Юрий Юрьевич</v>
      </c>
      <c r="AC42" s="360" t="str">
        <f>VLOOKUP(AE42,'пр.взв.'!B$7:H$134,3,FALSE)</f>
        <v>07.11.92, МС</v>
      </c>
      <c r="AD42" s="360" t="str">
        <f>VLOOKUP(AE42,'пр.взв.'!B$7:H$134,4,FALSE)</f>
        <v>ДВФО</v>
      </c>
      <c r="AE42" s="401">
        <v>20</v>
      </c>
      <c r="AF42" s="171"/>
      <c r="AG42" s="171"/>
      <c r="AH42" s="166">
        <f>IF(OR(U$53=AE54,U$53=AE56)," ",IF(AA55=AE54,AE56,AE54))</f>
        <v>8</v>
      </c>
      <c r="AI42" s="168">
        <f>IF(OR(AH38=" ",AH39=" ",AH40=" ",AH41=" ",AH42=" "),AH43,AH42)</f>
        <v>56</v>
      </c>
      <c r="AJ42" s="169"/>
      <c r="AK42" s="171"/>
      <c r="AL42" s="171"/>
      <c r="AM42" s="171"/>
      <c r="AN42" s="171"/>
      <c r="AO42" s="12"/>
      <c r="AP42" s="12"/>
      <c r="AQ42" s="12"/>
    </row>
    <row r="43" spans="1:43" ht="12" customHeight="1" thickBot="1">
      <c r="A43" s="387"/>
      <c r="B43" s="373"/>
      <c r="C43" s="373"/>
      <c r="D43" s="373"/>
      <c r="E43" s="130">
        <v>19</v>
      </c>
      <c r="F43" s="149"/>
      <c r="G43" s="139"/>
      <c r="H43" s="141"/>
      <c r="I43" s="151"/>
      <c r="J43" s="146"/>
      <c r="K43" s="108"/>
      <c r="L43" s="80"/>
      <c r="M43" s="57"/>
      <c r="N43" s="146"/>
      <c r="O43" s="133"/>
      <c r="P43" s="146"/>
      <c r="Q43" s="146"/>
      <c r="R43" s="134"/>
      <c r="S43" s="81"/>
      <c r="T43" s="135"/>
      <c r="U43" s="108"/>
      <c r="V43" s="227"/>
      <c r="W43" s="227"/>
      <c r="X43" s="232"/>
      <c r="Y43" s="227"/>
      <c r="Z43" s="236"/>
      <c r="AA43" s="130">
        <v>52</v>
      </c>
      <c r="AB43" s="361"/>
      <c r="AC43" s="361"/>
      <c r="AD43" s="361"/>
      <c r="AE43" s="399"/>
      <c r="AF43" s="171"/>
      <c r="AG43" s="171"/>
      <c r="AH43" s="166">
        <f>IF(OR(U$53=AE58,U$53=AE60)," ",IF(AA59=AE58,AE60,AE58))</f>
        <v>56</v>
      </c>
      <c r="AI43" s="168">
        <f>IF(OR(AH38=" ",AH39=" ",AH40=" ",AH41=" ",AH42=" ",AH43=" "),AH44,AH43)</f>
        <v>16</v>
      </c>
      <c r="AJ43" s="169"/>
      <c r="AK43" s="171"/>
      <c r="AL43" s="171"/>
      <c r="AM43" s="171"/>
      <c r="AN43" s="171"/>
      <c r="AO43" s="12"/>
      <c r="AP43" s="12"/>
      <c r="AQ43" s="12"/>
    </row>
    <row r="44" spans="1:43" ht="12" customHeight="1" thickBot="1">
      <c r="A44" s="387">
        <v>51</v>
      </c>
      <c r="B44" s="361" t="str">
        <f>VLOOKUP(A44,'пр.взв.'!B13:H140,2,FALSE)</f>
        <v>КОЖЕВНИКОВ Семен Николаевич</v>
      </c>
      <c r="C44" s="361" t="str">
        <f>VLOOKUP(A44,'пр.взв.'!B13:H140,3,FALSE)</f>
        <v>21.11.88, МС</v>
      </c>
      <c r="D44" s="361" t="str">
        <f>VLOOKUP(A44,'пр.взв.'!B13:H140,4,FALSE)</f>
        <v>СФО</v>
      </c>
      <c r="E44" s="131" t="s">
        <v>300</v>
      </c>
      <c r="F44" s="139"/>
      <c r="G44" s="139"/>
      <c r="H44" s="144"/>
      <c r="I44" s="151"/>
      <c r="J44" s="146"/>
      <c r="K44" s="108"/>
      <c r="L44" s="80"/>
      <c r="M44" s="57"/>
      <c r="N44" s="133"/>
      <c r="O44" s="125"/>
      <c r="P44" s="153"/>
      <c r="Q44" s="146"/>
      <c r="R44" s="134"/>
      <c r="S44" s="81"/>
      <c r="T44" s="135"/>
      <c r="U44" s="108"/>
      <c r="V44" s="227"/>
      <c r="W44" s="227"/>
      <c r="X44" s="232"/>
      <c r="Y44" s="227"/>
      <c r="Z44" s="227"/>
      <c r="AA44" s="131" t="s">
        <v>302</v>
      </c>
      <c r="AB44" s="360" t="str">
        <f>VLOOKUP(AE44,'пр.взв.'!B$7:H$134,2,FALSE)</f>
        <v>МКРДУМЯН Гагик Гайкович</v>
      </c>
      <c r="AC44" s="360" t="str">
        <f>VLOOKUP(AE44,'пр.взв.'!B$7:H$134,3,FALSE)</f>
        <v>05.06.93 мс</v>
      </c>
      <c r="AD44" s="360" t="str">
        <f>VLOOKUP(AE44,'пр.взв.'!B$7:H$134,4,FALSE)</f>
        <v>ЮФО</v>
      </c>
      <c r="AE44" s="399">
        <v>52</v>
      </c>
      <c r="AF44" s="171"/>
      <c r="AG44" s="171"/>
      <c r="AH44" s="166">
        <f>IF(OR(U$53=AE62,U$53=AE64)," ",IF(AA63=AE62,AE64,AE62))</f>
        <v>16</v>
      </c>
      <c r="AI44" s="168">
        <f>IF(OR(AH38=" ",AH39=" ",AH40=" ",AH41=" ",AH42=" ",AH43=" ",AH44=" "),AH45,AH44)</f>
        <v>64</v>
      </c>
      <c r="AJ44" s="169"/>
      <c r="AK44" s="171"/>
      <c r="AL44" s="171"/>
      <c r="AM44" s="171"/>
      <c r="AN44" s="171"/>
      <c r="AO44" s="12"/>
      <c r="AP44" s="12"/>
      <c r="AQ44" s="12"/>
    </row>
    <row r="45" spans="1:36" ht="12" customHeight="1" thickBot="1">
      <c r="A45" s="389"/>
      <c r="B45" s="373"/>
      <c r="C45" s="373"/>
      <c r="D45" s="373"/>
      <c r="E45" s="139"/>
      <c r="F45" s="139"/>
      <c r="G45" s="145"/>
      <c r="H45" s="150"/>
      <c r="I45" s="161"/>
      <c r="J45" s="133"/>
      <c r="K45" s="108"/>
      <c r="L45" s="80"/>
      <c r="M45" s="57"/>
      <c r="N45" s="133"/>
      <c r="O45" s="133"/>
      <c r="P45" s="108"/>
      <c r="Q45" s="108"/>
      <c r="R45" s="108"/>
      <c r="S45" s="81"/>
      <c r="T45" s="135"/>
      <c r="U45" s="108"/>
      <c r="V45" s="227"/>
      <c r="W45" s="130">
        <v>28</v>
      </c>
      <c r="X45" s="232"/>
      <c r="Y45" s="227"/>
      <c r="Z45" s="227"/>
      <c r="AA45" s="110"/>
      <c r="AB45" s="361"/>
      <c r="AC45" s="361"/>
      <c r="AD45" s="361"/>
      <c r="AE45" s="400"/>
      <c r="AH45" s="166">
        <f>IF(OR(U$53=AE66,U$53=AE68)," ",IF(AA67=AE66,AE68,AE66))</f>
        <v>64</v>
      </c>
      <c r="AJ45" s="169"/>
    </row>
    <row r="46" spans="1:36" ht="12" customHeight="1" thickBot="1">
      <c r="A46" s="386">
        <v>11</v>
      </c>
      <c r="B46" s="388" t="str">
        <f>VLOOKUP(A46,'пр.взв.'!B15:H142,2,FALSE)</f>
        <v>СУХАНОВ Денис Николаевич</v>
      </c>
      <c r="C46" s="388" t="str">
        <f>VLOOKUP(A46,'пр.взв.'!B15:H142,3,FALSE)</f>
        <v>22.03.91 мсмк</v>
      </c>
      <c r="D46" s="388" t="str">
        <f>VLOOKUP(A46,'пр.взв.'!B15:H142,4,FALSE)</f>
        <v>УФО</v>
      </c>
      <c r="E46" s="122"/>
      <c r="F46" s="122"/>
      <c r="G46" s="139"/>
      <c r="H46" s="153"/>
      <c r="I46" s="130">
        <v>27</v>
      </c>
      <c r="J46" s="152"/>
      <c r="K46" s="133"/>
      <c r="L46" s="80"/>
      <c r="M46" s="57"/>
      <c r="N46" s="133"/>
      <c r="O46" s="133"/>
      <c r="P46" s="108"/>
      <c r="Q46" s="108"/>
      <c r="R46" s="108"/>
      <c r="S46" s="81"/>
      <c r="T46" s="135"/>
      <c r="U46" s="108"/>
      <c r="V46" s="228"/>
      <c r="W46" s="131" t="s">
        <v>300</v>
      </c>
      <c r="X46" s="232"/>
      <c r="Y46" s="227"/>
      <c r="Z46" s="227"/>
      <c r="AA46" s="110"/>
      <c r="AB46" s="360" t="str">
        <f>VLOOKUP(AE46,'пр.взв.'!B$7:H$134,2,FALSE)</f>
        <v>КРИВЫХ Никита Александрович</v>
      </c>
      <c r="AC46" s="360" t="str">
        <f>VLOOKUP(AE46,'пр.взв.'!B$7:H$134,3,FALSE)</f>
        <v>22.11.93 кмс</v>
      </c>
      <c r="AD46" s="360" t="str">
        <f>VLOOKUP(AE46,'пр.взв.'!B$7:H$134,4,FALSE)</f>
        <v>УФО</v>
      </c>
      <c r="AE46" s="401">
        <v>12</v>
      </c>
      <c r="AH46" s="169"/>
      <c r="AJ46" s="169"/>
    </row>
    <row r="47" spans="1:36" ht="12" customHeight="1" thickBot="1">
      <c r="A47" s="387"/>
      <c r="B47" s="373"/>
      <c r="C47" s="373"/>
      <c r="D47" s="373"/>
      <c r="E47" s="130">
        <v>11</v>
      </c>
      <c r="F47" s="139"/>
      <c r="G47" s="139"/>
      <c r="H47" s="154"/>
      <c r="I47" s="131" t="s">
        <v>302</v>
      </c>
      <c r="J47" s="133"/>
      <c r="K47" s="135"/>
      <c r="L47" s="80"/>
      <c r="M47" s="57"/>
      <c r="N47" s="133"/>
      <c r="O47" s="133"/>
      <c r="P47" s="125" t="s">
        <v>24</v>
      </c>
      <c r="Q47" s="133"/>
      <c r="R47" s="133"/>
      <c r="S47" s="81"/>
      <c r="T47" s="135"/>
      <c r="U47" s="108"/>
      <c r="V47" s="232"/>
      <c r="W47" s="227"/>
      <c r="X47" s="232"/>
      <c r="Y47" s="227"/>
      <c r="Z47" s="227"/>
      <c r="AA47" s="130">
        <v>44</v>
      </c>
      <c r="AB47" s="361"/>
      <c r="AC47" s="361"/>
      <c r="AD47" s="361"/>
      <c r="AE47" s="399"/>
      <c r="AH47" s="169"/>
      <c r="AJ47" s="169"/>
    </row>
    <row r="48" spans="1:36" ht="12" customHeight="1" thickBot="1">
      <c r="A48" s="387">
        <v>43</v>
      </c>
      <c r="B48" s="361" t="str">
        <f>VLOOKUP(A48,'пр.взв.'!B17:H144,2,FALSE)</f>
        <v>ПУЖАЕВ Владимир Владимирович</v>
      </c>
      <c r="C48" s="361" t="str">
        <f>VLOOKUP(A48,'пр.взв.'!B17:H144,3,FALSE)</f>
        <v>11.06.91, МСМК</v>
      </c>
      <c r="D48" s="361" t="str">
        <f>VLOOKUP(A48,'пр.взв.'!B17:H144,4,FALSE)</f>
        <v>МОС</v>
      </c>
      <c r="E48" s="131" t="s">
        <v>302</v>
      </c>
      <c r="F48" s="143"/>
      <c r="G48" s="139"/>
      <c r="H48" s="155"/>
      <c r="I48" s="129"/>
      <c r="J48" s="133"/>
      <c r="K48" s="135"/>
      <c r="L48" s="80"/>
      <c r="M48" s="57"/>
      <c r="N48" s="374" t="str">
        <f>VLOOKUP(R67,'пр.взв.'!B7:H134,2,FALSE)</f>
        <v>ПЕРЕПЕЛЮК Андрей Александрович</v>
      </c>
      <c r="O48" s="375"/>
      <c r="P48" s="375"/>
      <c r="Q48" s="375"/>
      <c r="R48" s="376"/>
      <c r="S48" s="81"/>
      <c r="T48" s="135"/>
      <c r="U48" s="108"/>
      <c r="V48" s="232"/>
      <c r="W48" s="227"/>
      <c r="X48" s="232"/>
      <c r="Y48" s="227"/>
      <c r="Z48" s="228"/>
      <c r="AA48" s="131" t="s">
        <v>300</v>
      </c>
      <c r="AB48" s="360" t="str">
        <f>VLOOKUP(AE48,'пр.взв.'!B$7:H$134,2,FALSE)</f>
        <v>РЫБИН Дмитрий Сергеевич</v>
      </c>
      <c r="AC48" s="360" t="str">
        <f>VLOOKUP(AE48,'пр.взв.'!B$7:H$134,3,FALSE)</f>
        <v>18.08.93 мс</v>
      </c>
      <c r="AD48" s="360" t="str">
        <f>VLOOKUP(AE48,'пр.взв.'!B$7:H$134,4,FALSE)</f>
        <v>ЦФО</v>
      </c>
      <c r="AE48" s="399">
        <v>44</v>
      </c>
      <c r="AH48" s="169">
        <f>IF(AH7=0,AI7,AH7)</f>
        <v>46</v>
      </c>
      <c r="AJ48" s="169"/>
    </row>
    <row r="49" spans="1:36" ht="12" customHeight="1" thickBot="1">
      <c r="A49" s="389"/>
      <c r="B49" s="373"/>
      <c r="C49" s="373"/>
      <c r="D49" s="373"/>
      <c r="E49" s="139"/>
      <c r="F49" s="145"/>
      <c r="G49" s="130">
        <v>27</v>
      </c>
      <c r="H49" s="156"/>
      <c r="I49" s="133"/>
      <c r="J49" s="133"/>
      <c r="K49" s="135"/>
      <c r="L49" s="80"/>
      <c r="M49" s="57"/>
      <c r="N49" s="377"/>
      <c r="O49" s="378"/>
      <c r="P49" s="378"/>
      <c r="Q49" s="378"/>
      <c r="R49" s="379"/>
      <c r="S49" s="81"/>
      <c r="T49" s="135"/>
      <c r="U49" s="108"/>
      <c r="V49" s="232"/>
      <c r="W49" s="227"/>
      <c r="X49" s="236"/>
      <c r="Y49" s="130">
        <v>28</v>
      </c>
      <c r="Z49" s="232"/>
      <c r="AA49" s="110"/>
      <c r="AB49" s="361"/>
      <c r="AC49" s="361"/>
      <c r="AD49" s="361"/>
      <c r="AE49" s="400"/>
      <c r="AH49" s="169">
        <f>IF(U20=AA6,AA10,IF(U20=AA10,AA6,IF(U20=AA14,AA18,IF(U20=AA18,AA14,IF(U20=AA22,AA26,IF(U20=AA26,AA22,IF(U20=AA30,AA34,AA30)))))))</f>
        <v>30</v>
      </c>
      <c r="AJ49" s="169"/>
    </row>
    <row r="50" spans="1:36" ht="12" customHeight="1" thickBot="1">
      <c r="A50" s="386">
        <v>27</v>
      </c>
      <c r="B50" s="388" t="str">
        <f>VLOOKUP(A50,'пр.взв.'!B19:H146,2,FALSE)</f>
        <v>КИРЮХИН Сергей Александрович</v>
      </c>
      <c r="C50" s="388" t="str">
        <f>VLOOKUP(A50,'пр.взв.'!B19:H146,3,FALSE)</f>
        <v>23.02.87, ЗМС</v>
      </c>
      <c r="D50" s="388" t="str">
        <f>VLOOKUP(A50,'пр.взв.'!B19:H146,4,FALSE)</f>
        <v>СПБ</v>
      </c>
      <c r="E50" s="122"/>
      <c r="F50" s="139"/>
      <c r="G50" s="131" t="s">
        <v>302</v>
      </c>
      <c r="H50" s="144"/>
      <c r="I50" s="129"/>
      <c r="J50" s="133"/>
      <c r="K50" s="135"/>
      <c r="L50" s="80"/>
      <c r="M50" s="57"/>
      <c r="N50" s="133"/>
      <c r="O50" s="133"/>
      <c r="P50" s="108"/>
      <c r="Q50" s="108"/>
      <c r="R50" s="108"/>
      <c r="S50" s="81"/>
      <c r="T50" s="135"/>
      <c r="U50" s="133"/>
      <c r="V50" s="232"/>
      <c r="W50" s="227"/>
      <c r="X50" s="227"/>
      <c r="Y50" s="131" t="s">
        <v>303</v>
      </c>
      <c r="Z50" s="232"/>
      <c r="AA50" s="110"/>
      <c r="AB50" s="360" t="str">
        <f>VLOOKUP(AE50,'пр.взв.'!B$7:H$134,2,FALSE)</f>
        <v>УЛЬЯХОВ Александр Александрович </v>
      </c>
      <c r="AC50" s="360" t="str">
        <f>VLOOKUP(AE50,'пр.взв.'!B$7:H$134,3,FALSE)</f>
        <v>16.07.88 мс</v>
      </c>
      <c r="AD50" s="360" t="str">
        <f>VLOOKUP(AE50,'пр.взв.'!B$7:H$134,4,FALSE)</f>
        <v>ЦФО</v>
      </c>
      <c r="AE50" s="401">
        <v>28</v>
      </c>
      <c r="AH50" s="165">
        <f>IF(AH8=0,AI8,AH8)</f>
        <v>60</v>
      </c>
      <c r="AJ50" s="169"/>
    </row>
    <row r="51" spans="1:36" ht="12" customHeight="1" thickBot="1">
      <c r="A51" s="387"/>
      <c r="B51" s="373"/>
      <c r="C51" s="373"/>
      <c r="D51" s="373"/>
      <c r="E51" s="130">
        <v>27</v>
      </c>
      <c r="F51" s="149"/>
      <c r="G51" s="139"/>
      <c r="H51" s="141"/>
      <c r="I51" s="133"/>
      <c r="J51" s="133"/>
      <c r="K51" s="135"/>
      <c r="L51" s="80"/>
      <c r="M51" s="57"/>
      <c r="N51" s="133"/>
      <c r="O51" s="133"/>
      <c r="P51" s="108"/>
      <c r="Q51" s="108"/>
      <c r="R51" s="108"/>
      <c r="S51" s="81"/>
      <c r="T51" s="135"/>
      <c r="U51" s="133"/>
      <c r="V51" s="232"/>
      <c r="W51" s="227"/>
      <c r="X51" s="227"/>
      <c r="Y51" s="227"/>
      <c r="Z51" s="236"/>
      <c r="AA51" s="130">
        <v>28</v>
      </c>
      <c r="AB51" s="361"/>
      <c r="AC51" s="361"/>
      <c r="AD51" s="361"/>
      <c r="AE51" s="399"/>
      <c r="AH51" s="165">
        <f>IF(U53=AA39,AA43,IF(U53=AA43,AA39,IF(U53=AA47,AA51,IF(U53=AA51,AA47,IF(U53=AA55,AA59,IF(U53=AA59,AA55,IF(U53=AA63,AA67,AA63)))))))</f>
        <v>44</v>
      </c>
      <c r="AJ51" s="169"/>
    </row>
    <row r="52" spans="1:36" ht="12" customHeight="1" thickBot="1">
      <c r="A52" s="387">
        <v>59</v>
      </c>
      <c r="B52" s="368" t="e">
        <f>VLOOKUP(A52,'пр.взв.'!B21:H148,2,FALSE)</f>
        <v>#N/A</v>
      </c>
      <c r="C52" s="368" t="e">
        <f>VLOOKUP(A52,'пр.взв.'!B21:H148,3,FALSE)</f>
        <v>#N/A</v>
      </c>
      <c r="D52" s="368" t="e">
        <f>VLOOKUP(A52,'пр.взв.'!B21:H148,4,FALSE)</f>
        <v>#N/A</v>
      </c>
      <c r="E52" s="131"/>
      <c r="F52" s="139"/>
      <c r="G52" s="139"/>
      <c r="H52" s="144"/>
      <c r="I52" s="129"/>
      <c r="J52" s="133"/>
      <c r="K52" s="135"/>
      <c r="L52" s="80"/>
      <c r="M52" s="57"/>
      <c r="N52" s="133"/>
      <c r="O52" s="133"/>
      <c r="P52" s="108"/>
      <c r="Q52" s="108"/>
      <c r="R52" s="108"/>
      <c r="S52" s="81"/>
      <c r="T52" s="135"/>
      <c r="U52" s="133"/>
      <c r="V52" s="232"/>
      <c r="W52" s="227"/>
      <c r="X52" s="227"/>
      <c r="Y52" s="227"/>
      <c r="Z52" s="227"/>
      <c r="AA52" s="131"/>
      <c r="AB52" s="398" t="e">
        <f>VLOOKUP(AE52,'пр.взв.'!B$7:H$134,2,FALSE)</f>
        <v>#N/A</v>
      </c>
      <c r="AC52" s="398" t="e">
        <f>VLOOKUP(AE52,'пр.взв.'!B$7:H$134,3,FALSE)</f>
        <v>#N/A</v>
      </c>
      <c r="AD52" s="398" t="e">
        <f>VLOOKUP(AE52,'пр.взв.'!B$7:H$134,4,FALSE)</f>
        <v>#N/A</v>
      </c>
      <c r="AE52" s="399">
        <v>60</v>
      </c>
      <c r="AH52" s="165">
        <f>IF(U20=Y8,Y16,IF(U20=Y16,Y8,IF(U20=Y24,Y32,Y24)))</f>
        <v>38</v>
      </c>
      <c r="AJ52" s="169"/>
    </row>
    <row r="53" spans="1:36" ht="12" customHeight="1" thickBot="1">
      <c r="A53" s="389"/>
      <c r="B53" s="369"/>
      <c r="C53" s="369"/>
      <c r="D53" s="369"/>
      <c r="E53" s="139"/>
      <c r="F53" s="139"/>
      <c r="G53" s="139"/>
      <c r="H53" s="141"/>
      <c r="I53" s="133"/>
      <c r="J53" s="133"/>
      <c r="K53" s="130">
        <v>27</v>
      </c>
      <c r="L53" s="86"/>
      <c r="M53" s="57"/>
      <c r="N53" s="133"/>
      <c r="O53" s="133"/>
      <c r="P53" s="108"/>
      <c r="Q53" s="108"/>
      <c r="R53" s="108"/>
      <c r="S53" s="81"/>
      <c r="T53" s="256"/>
      <c r="U53" s="130">
        <v>28</v>
      </c>
      <c r="V53" s="232"/>
      <c r="W53" s="227"/>
      <c r="X53" s="227"/>
      <c r="Y53" s="227"/>
      <c r="Z53" s="227"/>
      <c r="AA53" s="110"/>
      <c r="AB53" s="368"/>
      <c r="AC53" s="368"/>
      <c r="AD53" s="368"/>
      <c r="AE53" s="400"/>
      <c r="AH53" s="165">
        <f>IF(U53=Y41,Y49,IF(U53=Y49,Y41,IF(U53=Y57,Y65,Y57)))</f>
        <v>4</v>
      </c>
      <c r="AJ53" s="169"/>
    </row>
    <row r="54" spans="1:36" ht="12" customHeight="1" thickBot="1">
      <c r="A54" s="386">
        <v>7</v>
      </c>
      <c r="B54" s="388" t="str">
        <f>VLOOKUP(A54,'пр.взв.'!B7:H134,2,FALSE)</f>
        <v>АДАЕВ Исмаил Залимханович</v>
      </c>
      <c r="C54" s="388" t="str">
        <f>VLOOKUP(A54,'пр.взв.'!B7:H134,3,FALSE)</f>
        <v>09.04.94, КМС</v>
      </c>
      <c r="D54" s="388" t="str">
        <f>VLOOKUP(A54,'пр.взв.'!B7:H134,4,FALSE)</f>
        <v>УФО</v>
      </c>
      <c r="E54" s="122"/>
      <c r="F54" s="122"/>
      <c r="G54" s="138"/>
      <c r="H54" s="138"/>
      <c r="I54" s="109"/>
      <c r="J54" s="109"/>
      <c r="K54" s="131" t="s">
        <v>302</v>
      </c>
      <c r="L54" s="81"/>
      <c r="M54" s="81"/>
      <c r="N54" s="359" t="s">
        <v>26</v>
      </c>
      <c r="O54" s="359"/>
      <c r="P54" s="108"/>
      <c r="Q54" s="108"/>
      <c r="R54" s="108"/>
      <c r="S54" s="81"/>
      <c r="T54" s="108"/>
      <c r="U54" s="131" t="s">
        <v>304</v>
      </c>
      <c r="V54" s="232"/>
      <c r="W54" s="227"/>
      <c r="X54" s="227"/>
      <c r="Y54" s="227"/>
      <c r="Z54" s="227"/>
      <c r="AA54" s="110"/>
      <c r="AB54" s="360" t="str">
        <f>VLOOKUP(AE54,'пр.взв.'!B$7:H$134,2,FALSE)</f>
        <v>КУПРАШВИЛИ Родион Автандилович</v>
      </c>
      <c r="AC54" s="360" t="str">
        <f>VLOOKUP(AE54,'пр.взв.'!B$7:H$134,3,FALSE)</f>
        <v>07.02.95, МС</v>
      </c>
      <c r="AD54" s="360" t="str">
        <f>VLOOKUP(AE54,'пр.взв.'!B$7:H$134,4,FALSE)</f>
        <v>ЮФО</v>
      </c>
      <c r="AE54" s="401">
        <v>8</v>
      </c>
      <c r="AH54" s="165">
        <f>IF(U53=W45,W61,W45)</f>
        <v>48</v>
      </c>
      <c r="AJ54" s="169"/>
    </row>
    <row r="55" spans="1:36" ht="12" customHeight="1" thickBot="1">
      <c r="A55" s="387"/>
      <c r="B55" s="373"/>
      <c r="C55" s="373"/>
      <c r="D55" s="373"/>
      <c r="E55" s="130">
        <v>7</v>
      </c>
      <c r="F55" s="139"/>
      <c r="G55" s="140"/>
      <c r="H55" s="141"/>
      <c r="I55" s="153"/>
      <c r="J55" s="146"/>
      <c r="K55" s="157"/>
      <c r="L55" s="81"/>
      <c r="M55" s="81"/>
      <c r="N55" s="359"/>
      <c r="O55" s="359"/>
      <c r="P55" s="108"/>
      <c r="Q55" s="108"/>
      <c r="R55" s="108"/>
      <c r="S55" s="81"/>
      <c r="T55" s="108"/>
      <c r="U55" s="260"/>
      <c r="V55" s="232"/>
      <c r="W55" s="227"/>
      <c r="X55" s="227"/>
      <c r="Y55" s="227"/>
      <c r="Z55" s="227"/>
      <c r="AA55" s="130">
        <v>40</v>
      </c>
      <c r="AB55" s="361"/>
      <c r="AC55" s="361"/>
      <c r="AD55" s="361"/>
      <c r="AE55" s="399"/>
      <c r="AH55" s="165">
        <f>IF(M36=K20,K53,K20)</f>
        <v>13</v>
      </c>
      <c r="AJ55" s="169"/>
    </row>
    <row r="56" spans="1:34" ht="12" customHeight="1" thickBot="1">
      <c r="A56" s="387">
        <v>39</v>
      </c>
      <c r="B56" s="361" t="str">
        <f>VLOOKUP(A56,'пр.взв.'!B25:H152,2,FALSE)</f>
        <v>ШЕВЦОВ Андрей Андреевич</v>
      </c>
      <c r="C56" s="361" t="str">
        <f>VLOOKUP(A56,'пр.взв.'!B25:H152,3,FALSE)</f>
        <v>24.11.95 мс</v>
      </c>
      <c r="D56" s="361" t="str">
        <f>VLOOKUP(A56,'пр.взв.'!B25:H152,4,FALSE)</f>
        <v>ДВФО</v>
      </c>
      <c r="E56" s="131" t="s">
        <v>303</v>
      </c>
      <c r="F56" s="143"/>
      <c r="G56" s="139"/>
      <c r="H56" s="144"/>
      <c r="I56" s="150"/>
      <c r="J56" s="153"/>
      <c r="K56" s="135"/>
      <c r="L56" s="363">
        <f>AH48</f>
        <v>46</v>
      </c>
      <c r="M56" s="363"/>
      <c r="N56" s="81"/>
      <c r="O56" s="81"/>
      <c r="P56" s="81"/>
      <c r="Q56" s="81"/>
      <c r="R56" s="230"/>
      <c r="S56" s="50"/>
      <c r="T56" s="108"/>
      <c r="U56" s="133"/>
      <c r="V56" s="232"/>
      <c r="W56" s="227"/>
      <c r="X56" s="227"/>
      <c r="Y56" s="227"/>
      <c r="Z56" s="228"/>
      <c r="AA56" s="131" t="s">
        <v>300</v>
      </c>
      <c r="AB56" s="360" t="str">
        <f>VLOOKUP(AE56,'пр.взв.'!B$7:H$134,2,FALSE)</f>
        <v>КУРЖЕВ Али Рамазанович</v>
      </c>
      <c r="AC56" s="360" t="str">
        <f>VLOOKUP(AE56,'пр.взв.'!B$7:H$134,3,FALSE)</f>
        <v>28.04.89, МСМК</v>
      </c>
      <c r="AD56" s="360" t="str">
        <f>VLOOKUP(AE56,'пр.взв.'!B$7:H$134,4,FALSE)</f>
        <v>ЦФО</v>
      </c>
      <c r="AE56" s="399">
        <v>40</v>
      </c>
      <c r="AH56" s="165">
        <f>IF(U20=W12,W28,W12)</f>
        <v>26</v>
      </c>
    </row>
    <row r="57" spans="1:31" ht="12" customHeight="1" thickBot="1">
      <c r="A57" s="389"/>
      <c r="B57" s="373"/>
      <c r="C57" s="373"/>
      <c r="D57" s="373"/>
      <c r="E57" s="139"/>
      <c r="F57" s="145"/>
      <c r="G57" s="130">
        <v>23</v>
      </c>
      <c r="H57" s="146"/>
      <c r="I57" s="153"/>
      <c r="J57" s="146"/>
      <c r="K57" s="135"/>
      <c r="L57" s="364"/>
      <c r="M57" s="365"/>
      <c r="N57" s="109">
        <v>46</v>
      </c>
      <c r="O57" s="229"/>
      <c r="P57" s="230"/>
      <c r="Q57" s="55"/>
      <c r="R57" s="55"/>
      <c r="S57" s="55"/>
      <c r="T57" s="108"/>
      <c r="U57" s="133"/>
      <c r="V57" s="232"/>
      <c r="W57" s="227"/>
      <c r="X57" s="227"/>
      <c r="Y57" s="130">
        <v>40</v>
      </c>
      <c r="Z57" s="232"/>
      <c r="AA57" s="110"/>
      <c r="AB57" s="361"/>
      <c r="AC57" s="361"/>
      <c r="AD57" s="361"/>
      <c r="AE57" s="400"/>
    </row>
    <row r="58" spans="1:31" ht="12" customHeight="1" thickBot="1">
      <c r="A58" s="386">
        <v>23</v>
      </c>
      <c r="B58" s="388" t="str">
        <f>VLOOKUP(A58,'пр.взв.'!B27:H154,2,FALSE)</f>
        <v>БУДИМИРОВ Алексей Евгеньевич</v>
      </c>
      <c r="C58" s="388" t="str">
        <f>VLOOKUP(A58,'пр.взв.'!B27:H154,3,FALSE)</f>
        <v>06.03.90 мс</v>
      </c>
      <c r="D58" s="388" t="str">
        <f>VLOOKUP(A58,'пр.взв.'!B27:H154,4,FALSE)</f>
        <v>ПФО</v>
      </c>
      <c r="E58" s="122"/>
      <c r="F58" s="139"/>
      <c r="G58" s="131" t="s">
        <v>300</v>
      </c>
      <c r="H58" s="158"/>
      <c r="I58" s="146"/>
      <c r="J58" s="146"/>
      <c r="K58" s="157"/>
      <c r="L58" s="257"/>
      <c r="M58" s="233"/>
      <c r="N58" s="234" t="s">
        <v>302</v>
      </c>
      <c r="O58" s="230"/>
      <c r="P58" s="229"/>
      <c r="Q58" s="55"/>
      <c r="R58" s="55"/>
      <c r="S58" s="55"/>
      <c r="T58" s="108"/>
      <c r="U58" s="133"/>
      <c r="V58" s="232"/>
      <c r="W58" s="227"/>
      <c r="X58" s="228"/>
      <c r="Y58" s="131" t="s">
        <v>303</v>
      </c>
      <c r="Z58" s="232"/>
      <c r="AA58" s="110"/>
      <c r="AB58" s="360" t="str">
        <f>VLOOKUP(AE58,'пр.взв.'!B$7:H$134,2,FALSE)</f>
        <v>ХАРИТОНОВ Алексей Александрович</v>
      </c>
      <c r="AC58" s="360" t="str">
        <f>VLOOKUP(AE58,'пр.взв.'!B$7:H$134,3,FALSE)</f>
        <v>02.11.78 змс</v>
      </c>
      <c r="AD58" s="360" t="str">
        <f>VLOOKUP(AE58,'пр.взв.'!B$7:H$134,4,FALSE)</f>
        <v>ПФО</v>
      </c>
      <c r="AE58" s="401">
        <v>24</v>
      </c>
    </row>
    <row r="59" spans="1:31" ht="12" customHeight="1" thickBot="1">
      <c r="A59" s="387"/>
      <c r="B59" s="373"/>
      <c r="C59" s="373"/>
      <c r="D59" s="373"/>
      <c r="E59" s="130">
        <v>23</v>
      </c>
      <c r="F59" s="149"/>
      <c r="G59" s="139"/>
      <c r="H59" s="159"/>
      <c r="I59" s="150"/>
      <c r="J59" s="146"/>
      <c r="K59" s="135"/>
      <c r="L59" s="363">
        <f>AH49</f>
        <v>30</v>
      </c>
      <c r="M59" s="366"/>
      <c r="N59" s="51"/>
      <c r="O59" s="109">
        <v>46</v>
      </c>
      <c r="P59" s="229"/>
      <c r="Q59" s="229"/>
      <c r="R59" s="50"/>
      <c r="S59" s="235"/>
      <c r="T59" s="108"/>
      <c r="U59" s="133"/>
      <c r="V59" s="232"/>
      <c r="W59" s="227"/>
      <c r="X59" s="232"/>
      <c r="Y59" s="227"/>
      <c r="Z59" s="236"/>
      <c r="AA59" s="130">
        <v>24</v>
      </c>
      <c r="AB59" s="361"/>
      <c r="AC59" s="361"/>
      <c r="AD59" s="361"/>
      <c r="AE59" s="399"/>
    </row>
    <row r="60" spans="1:31" ht="12" customHeight="1" thickBot="1">
      <c r="A60" s="387">
        <v>55</v>
      </c>
      <c r="B60" s="368" t="e">
        <f>VLOOKUP(A60,'пр.взв.'!B29:H156,2,FALSE)</f>
        <v>#N/A</v>
      </c>
      <c r="C60" s="368" t="e">
        <f>VLOOKUP(A60,'пр.взв.'!B29:H156,3,FALSE)</f>
        <v>#N/A</v>
      </c>
      <c r="D60" s="368" t="e">
        <f>VLOOKUP(A60,'пр.взв.'!B29:H156,4,FALSE)</f>
        <v>#N/A</v>
      </c>
      <c r="E60" s="131"/>
      <c r="F60" s="139"/>
      <c r="G60" s="139"/>
      <c r="H60" s="155"/>
      <c r="I60" s="150"/>
      <c r="J60" s="153"/>
      <c r="K60" s="135"/>
      <c r="L60" s="367"/>
      <c r="M60" s="367"/>
      <c r="N60" s="15">
        <f>AH52</f>
        <v>38</v>
      </c>
      <c r="O60" s="234" t="s">
        <v>302</v>
      </c>
      <c r="P60" s="229"/>
      <c r="Q60" s="50"/>
      <c r="R60" s="50"/>
      <c r="S60" s="229"/>
      <c r="T60" s="108"/>
      <c r="U60" s="133"/>
      <c r="V60" s="232"/>
      <c r="W60" s="227"/>
      <c r="X60" s="232"/>
      <c r="Y60" s="227"/>
      <c r="Z60" s="227"/>
      <c r="AA60" s="131"/>
      <c r="AB60" s="398" t="e">
        <f>VLOOKUP(AE60,'пр.взв.'!B$7:H$134,2,FALSE)</f>
        <v>#N/A</v>
      </c>
      <c r="AC60" s="398" t="e">
        <f>VLOOKUP(AE60,'пр.взв.'!B$7:H$134,3,FALSE)</f>
        <v>#N/A</v>
      </c>
      <c r="AD60" s="398" t="e">
        <f>VLOOKUP(AE60,'пр.взв.'!B$7:H$134,4,FALSE)</f>
        <v>#N/A</v>
      </c>
      <c r="AE60" s="399">
        <v>56</v>
      </c>
    </row>
    <row r="61" spans="1:31" ht="12" customHeight="1" thickBot="1">
      <c r="A61" s="389"/>
      <c r="B61" s="369"/>
      <c r="C61" s="369"/>
      <c r="D61" s="369"/>
      <c r="E61" s="139"/>
      <c r="F61" s="139"/>
      <c r="G61" s="145"/>
      <c r="H61" s="150"/>
      <c r="I61" s="130">
        <v>47</v>
      </c>
      <c r="J61" s="249"/>
      <c r="K61" s="135"/>
      <c r="L61" s="258"/>
      <c r="M61" s="230"/>
      <c r="N61" s="50"/>
      <c r="O61" s="51"/>
      <c r="P61" s="109">
        <v>46</v>
      </c>
      <c r="Q61" s="50"/>
      <c r="R61" s="50"/>
      <c r="S61" s="229"/>
      <c r="T61" s="108"/>
      <c r="U61" s="133"/>
      <c r="V61" s="236"/>
      <c r="W61" s="136">
        <v>48</v>
      </c>
      <c r="X61" s="232"/>
      <c r="Y61" s="227"/>
      <c r="Z61" s="227"/>
      <c r="AA61" s="110"/>
      <c r="AB61" s="368"/>
      <c r="AC61" s="368"/>
      <c r="AD61" s="368"/>
      <c r="AE61" s="400"/>
    </row>
    <row r="62" spans="1:31" ht="12" customHeight="1" thickBot="1">
      <c r="A62" s="386">
        <v>15</v>
      </c>
      <c r="B62" s="388" t="str">
        <f>VLOOKUP(A62,'пр.взв.'!B31:H158,2,FALSE)</f>
        <v>КОРОЛЕВ Сергей Владимирович</v>
      </c>
      <c r="C62" s="388">
        <f>VLOOKUP(A62,'пр.взв.'!B31:H158,3,FALSE)</f>
        <v>32198</v>
      </c>
      <c r="D62" s="388" t="str">
        <f>VLOOKUP(A62,'пр.взв.'!B31:H158,4,FALSE)</f>
        <v>ЦФО</v>
      </c>
      <c r="E62" s="122"/>
      <c r="F62" s="122"/>
      <c r="G62" s="139"/>
      <c r="H62" s="153"/>
      <c r="I62" s="131" t="s">
        <v>303</v>
      </c>
      <c r="J62" s="146"/>
      <c r="K62" s="133"/>
      <c r="L62" s="258"/>
      <c r="M62" s="230"/>
      <c r="N62" s="50"/>
      <c r="O62" s="15">
        <f>AH56</f>
        <v>26</v>
      </c>
      <c r="P62" s="234" t="s">
        <v>302</v>
      </c>
      <c r="Q62" s="50"/>
      <c r="R62" s="50"/>
      <c r="S62" s="237"/>
      <c r="T62" s="108"/>
      <c r="U62" s="133"/>
      <c r="V62" s="227"/>
      <c r="W62" s="137" t="s">
        <v>302</v>
      </c>
      <c r="X62" s="232"/>
      <c r="Y62" s="227"/>
      <c r="Z62" s="227"/>
      <c r="AA62" s="110"/>
      <c r="AB62" s="360" t="str">
        <f>VLOOKUP(AE62,'пр.взв.'!B$7:H$134,2,FALSE)</f>
        <v>АХМАДОВ Арби Хусейнович</v>
      </c>
      <c r="AC62" s="360" t="str">
        <f>VLOOKUP(AE62,'пр.взв.'!B$7:H$134,3,FALSE)</f>
        <v>20.05.89, МС</v>
      </c>
      <c r="AD62" s="360" t="str">
        <f>VLOOKUP(AE62,'пр.взв.'!B$7:H$134,4,FALSE)</f>
        <v>СКФО</v>
      </c>
      <c r="AE62" s="401">
        <v>16</v>
      </c>
    </row>
    <row r="63" spans="1:31" ht="12" customHeight="1" thickBot="1">
      <c r="A63" s="387"/>
      <c r="B63" s="373"/>
      <c r="C63" s="373"/>
      <c r="D63" s="373"/>
      <c r="E63" s="130">
        <v>47</v>
      </c>
      <c r="F63" s="139"/>
      <c r="G63" s="139"/>
      <c r="H63" s="154"/>
      <c r="I63" s="133"/>
      <c r="J63" s="108"/>
      <c r="K63" s="108"/>
      <c r="L63" s="357">
        <f>AH50</f>
        <v>60</v>
      </c>
      <c r="M63" s="357"/>
      <c r="N63" s="50"/>
      <c r="O63" s="50"/>
      <c r="P63" s="238"/>
      <c r="Q63" s="50"/>
      <c r="R63" s="50"/>
      <c r="S63" s="237"/>
      <c r="T63" s="108"/>
      <c r="U63" s="133"/>
      <c r="V63" s="227"/>
      <c r="W63" s="227"/>
      <c r="X63" s="232"/>
      <c r="Y63" s="227"/>
      <c r="Z63" s="227"/>
      <c r="AA63" s="130">
        <v>48</v>
      </c>
      <c r="AB63" s="361"/>
      <c r="AC63" s="361"/>
      <c r="AD63" s="361"/>
      <c r="AE63" s="399"/>
    </row>
    <row r="64" spans="1:31" ht="12" customHeight="1" thickBot="1">
      <c r="A64" s="387">
        <v>47</v>
      </c>
      <c r="B64" s="361" t="str">
        <f>VLOOKUP(A64,'пр.взв.'!B33:H160,2,FALSE)</f>
        <v>МОТОРКИН Андрей Владимирович</v>
      </c>
      <c r="C64" s="361" t="str">
        <f>VLOOKUP(A64,'пр.взв.'!B33:H160,3,FALSE)</f>
        <v>19.07.80 мсмк</v>
      </c>
      <c r="D64" s="361" t="str">
        <f>VLOOKUP(A64,'пр.взв.'!B33:H160,4,FALSE)</f>
        <v>ЦФО</v>
      </c>
      <c r="E64" s="131" t="s">
        <v>302</v>
      </c>
      <c r="F64" s="143"/>
      <c r="G64" s="139"/>
      <c r="H64" s="155"/>
      <c r="I64" s="129"/>
      <c r="J64" s="227"/>
      <c r="K64" s="227"/>
      <c r="L64" s="225"/>
      <c r="M64" s="226"/>
      <c r="N64" s="241">
        <v>44</v>
      </c>
      <c r="O64" s="50"/>
      <c r="P64" s="242"/>
      <c r="Q64" s="241">
        <v>48</v>
      </c>
      <c r="R64" s="50"/>
      <c r="S64" s="243"/>
      <c r="T64" s="108"/>
      <c r="U64" s="133"/>
      <c r="V64" s="227"/>
      <c r="W64" s="227"/>
      <c r="X64" s="232"/>
      <c r="Y64" s="227"/>
      <c r="Z64" s="228"/>
      <c r="AA64" s="131" t="s">
        <v>300</v>
      </c>
      <c r="AB64" s="360" t="str">
        <f>VLOOKUP(AE64,'пр.взв.'!B$7:H$134,2,FALSE)</f>
        <v>ПЕРЕПЕЛЮК Андрей Александрович</v>
      </c>
      <c r="AC64" s="360" t="str">
        <f>VLOOKUP(AE64,'пр.взв.'!B$7:H$134,3,FALSE)</f>
        <v>06.08.85, МСМК</v>
      </c>
      <c r="AD64" s="360" t="str">
        <f>VLOOKUP(AE64,'пр.взв.'!B$7:H$134,4,FALSE)</f>
        <v>МОС</v>
      </c>
      <c r="AE64" s="399">
        <v>48</v>
      </c>
    </row>
    <row r="65" spans="1:31" ht="12" customHeight="1" thickBot="1">
      <c r="A65" s="389"/>
      <c r="B65" s="373"/>
      <c r="C65" s="373"/>
      <c r="D65" s="373"/>
      <c r="E65" s="139"/>
      <c r="F65" s="145"/>
      <c r="G65" s="130">
        <v>47</v>
      </c>
      <c r="H65" s="156"/>
      <c r="I65" s="133"/>
      <c r="J65" s="227"/>
      <c r="K65" s="227"/>
      <c r="L65" s="223"/>
      <c r="M65" s="224"/>
      <c r="N65" s="234"/>
      <c r="O65" s="50"/>
      <c r="P65" s="238"/>
      <c r="Q65" s="234" t="s">
        <v>302</v>
      </c>
      <c r="R65" s="50"/>
      <c r="S65" s="237"/>
      <c r="T65" s="108"/>
      <c r="U65" s="133"/>
      <c r="V65" s="227"/>
      <c r="W65" s="227"/>
      <c r="X65" s="236"/>
      <c r="Y65" s="130">
        <v>48</v>
      </c>
      <c r="Z65" s="232"/>
      <c r="AA65" s="110"/>
      <c r="AB65" s="361"/>
      <c r="AC65" s="361"/>
      <c r="AD65" s="361"/>
      <c r="AE65" s="400"/>
    </row>
    <row r="66" spans="1:31" ht="12" customHeight="1" thickBot="1">
      <c r="A66" s="386">
        <v>31</v>
      </c>
      <c r="B66" s="388" t="str">
        <f>VLOOKUP(A66,'пр.взв.'!B35:H162,2,FALSE)</f>
        <v>АЙНУЛЛИН Равиль  Жафярович</v>
      </c>
      <c r="C66" s="388" t="str">
        <f>VLOOKUP(A66,'пр.взв.'!B35:H162,3,FALSE)</f>
        <v>17.06.89, МС</v>
      </c>
      <c r="D66" s="388" t="str">
        <f>VLOOKUP(A66,'пр.взв.'!B35:H162,4,FALSE)</f>
        <v>МОС</v>
      </c>
      <c r="E66" s="122"/>
      <c r="F66" s="139"/>
      <c r="G66" s="131" t="s">
        <v>304</v>
      </c>
      <c r="H66" s="144"/>
      <c r="I66" s="129"/>
      <c r="J66" s="227"/>
      <c r="K66" s="227"/>
      <c r="L66" s="357">
        <f>AH51</f>
        <v>44</v>
      </c>
      <c r="M66" s="358"/>
      <c r="N66" s="51"/>
      <c r="O66" s="241">
        <v>44</v>
      </c>
      <c r="P66" s="238"/>
      <c r="Q66" s="51"/>
      <c r="R66" s="50"/>
      <c r="S66" s="237"/>
      <c r="T66" s="108"/>
      <c r="U66" s="133"/>
      <c r="V66" s="227"/>
      <c r="W66" s="227"/>
      <c r="X66" s="227"/>
      <c r="Y66" s="131" t="s">
        <v>302</v>
      </c>
      <c r="Z66" s="232"/>
      <c r="AA66" s="110"/>
      <c r="AB66" s="360" t="str">
        <f>VLOOKUP(AE66,'пр.взв.'!B$7:H$134,2,FALSE)</f>
        <v>НИКУЛИН Иван Дмитриевич</v>
      </c>
      <c r="AC66" s="360" t="str">
        <f>VLOOKUP(AE66,'пр.взв.'!B$7:H$134,3,FALSE)</f>
        <v>20.03.93, МС</v>
      </c>
      <c r="AD66" s="360" t="str">
        <f>VLOOKUP(AE66,'пр.взв.'!B$7:H$134,4,FALSE)</f>
        <v>УФО</v>
      </c>
      <c r="AE66" s="401">
        <v>32</v>
      </c>
    </row>
    <row r="67" spans="1:31" ht="12" customHeight="1" thickBot="1">
      <c r="A67" s="387"/>
      <c r="B67" s="373"/>
      <c r="C67" s="373"/>
      <c r="D67" s="373"/>
      <c r="E67" s="130">
        <v>31</v>
      </c>
      <c r="F67" s="149"/>
      <c r="G67" s="139"/>
      <c r="H67" s="141"/>
      <c r="I67" s="133"/>
      <c r="J67" s="227"/>
      <c r="K67" s="227"/>
      <c r="L67" s="221"/>
      <c r="M67" s="222"/>
      <c r="N67" s="15">
        <f>AH53</f>
        <v>4</v>
      </c>
      <c r="O67" s="234" t="s">
        <v>302</v>
      </c>
      <c r="P67" s="238"/>
      <c r="Q67" s="51"/>
      <c r="R67" s="259">
        <v>48</v>
      </c>
      <c r="S67" s="237"/>
      <c r="T67" s="108"/>
      <c r="U67" s="108"/>
      <c r="V67" s="227"/>
      <c r="W67" s="227"/>
      <c r="X67" s="227"/>
      <c r="Y67" s="227"/>
      <c r="Z67" s="236"/>
      <c r="AA67" s="130">
        <v>32</v>
      </c>
      <c r="AB67" s="361"/>
      <c r="AC67" s="361"/>
      <c r="AD67" s="361"/>
      <c r="AE67" s="399"/>
    </row>
    <row r="68" spans="1:31" ht="12" customHeight="1" thickBot="1">
      <c r="A68" s="387">
        <v>63</v>
      </c>
      <c r="B68" s="390" t="e">
        <f>VLOOKUP(A68,'пр.взв.'!B37:H164,2,FALSE)</f>
        <v>#N/A</v>
      </c>
      <c r="C68" s="390" t="e">
        <f>VLOOKUP(A68,'пр.взв.'!B37:H164,3,FALSE)</f>
        <v>#N/A</v>
      </c>
      <c r="D68" s="390" t="e">
        <f>VLOOKUP(A68,'пр.взв.'!B37:H164,4,FALSE)</f>
        <v>#N/A</v>
      </c>
      <c r="E68" s="162"/>
      <c r="F68" s="139"/>
      <c r="G68" s="139"/>
      <c r="H68" s="144"/>
      <c r="I68" s="129"/>
      <c r="J68" s="227"/>
      <c r="K68" s="227"/>
      <c r="L68" s="81"/>
      <c r="M68" s="229"/>
      <c r="N68" s="50"/>
      <c r="O68" s="51"/>
      <c r="P68" s="156">
        <v>48</v>
      </c>
      <c r="Q68" s="51"/>
      <c r="R68" s="244" t="s">
        <v>302</v>
      </c>
      <c r="S68" s="237"/>
      <c r="T68" s="108"/>
      <c r="U68" s="108"/>
      <c r="V68" s="227"/>
      <c r="W68" s="227"/>
      <c r="X68" s="227"/>
      <c r="Y68" s="227"/>
      <c r="Z68" s="227"/>
      <c r="AA68" s="131"/>
      <c r="AB68" s="398" t="e">
        <f>VLOOKUP(AE68,'пр.взв.'!B$7:H$134,2,FALSE)</f>
        <v>#N/A</v>
      </c>
      <c r="AC68" s="398" t="e">
        <f>VLOOKUP(AE68,'пр.взв.'!B$7:H$134,3,FALSE)</f>
        <v>#N/A</v>
      </c>
      <c r="AD68" s="398" t="e">
        <f>VLOOKUP(AE68,'пр.взв.'!B$7:H$134,4,FALSE)</f>
        <v>#N/A</v>
      </c>
      <c r="AE68" s="399">
        <v>64</v>
      </c>
    </row>
    <row r="69" spans="1:31" ht="12" customHeight="1" thickBot="1">
      <c r="A69" s="389"/>
      <c r="B69" s="370"/>
      <c r="C69" s="370"/>
      <c r="D69" s="370"/>
      <c r="E69" s="136"/>
      <c r="F69" s="139"/>
      <c r="G69" s="140"/>
      <c r="H69" s="141"/>
      <c r="I69" s="153"/>
      <c r="J69" s="227"/>
      <c r="K69" s="227"/>
      <c r="L69" s="80"/>
      <c r="M69" s="243"/>
      <c r="N69" s="50"/>
      <c r="O69" s="15">
        <f>AH54</f>
        <v>48</v>
      </c>
      <c r="P69" s="246" t="s">
        <v>300</v>
      </c>
      <c r="Q69" s="353">
        <f>AH55</f>
        <v>13</v>
      </c>
      <c r="R69" s="50"/>
      <c r="S69" s="237"/>
      <c r="T69" s="108"/>
      <c r="U69" s="108"/>
      <c r="V69" s="227"/>
      <c r="W69" s="227"/>
      <c r="X69" s="227"/>
      <c r="Y69" s="227"/>
      <c r="Z69" s="227"/>
      <c r="AA69" s="110"/>
      <c r="AB69" s="368"/>
      <c r="AC69" s="368"/>
      <c r="AD69" s="368"/>
      <c r="AE69" s="400"/>
    </row>
    <row r="70" spans="1:26" ht="9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08"/>
      <c r="K70" s="126"/>
      <c r="L70" s="89"/>
      <c r="M70" s="80"/>
      <c r="N70" s="81"/>
      <c r="O70" s="50"/>
      <c r="P70" s="81"/>
      <c r="Q70" s="354"/>
      <c r="R70" s="247"/>
      <c r="S70" s="80"/>
      <c r="T70" s="81"/>
      <c r="U70" s="81"/>
      <c r="V70" s="50"/>
      <c r="W70" s="50"/>
      <c r="X70" s="50"/>
      <c r="Y70" s="50"/>
      <c r="Z70" s="50"/>
    </row>
    <row r="71" spans="1:31" ht="12.75">
      <c r="A71" s="122"/>
      <c r="B71" s="122"/>
      <c r="C71" s="122"/>
      <c r="D71" s="122"/>
      <c r="E71" s="122"/>
      <c r="F71" s="122"/>
      <c r="G71" s="122"/>
      <c r="H71" s="124">
        <f>HYPERLINK('[1]реквизиты'!$A$22)</f>
      </c>
      <c r="I71" s="125"/>
      <c r="J71" s="125"/>
      <c r="K71" s="126"/>
      <c r="L71" s="127"/>
      <c r="M71" s="127"/>
      <c r="N71" s="126"/>
      <c r="O71" s="126"/>
      <c r="P71" s="128">
        <f>HYPERLINK('[1]реквизиты'!$G$23)</f>
      </c>
      <c r="Q71" s="129"/>
      <c r="R71" s="122"/>
      <c r="S71" s="115"/>
      <c r="T71" s="115"/>
      <c r="U71" s="115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3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ht="12.75">
      <c r="A73" s="108" t="str">
        <f>HYPERLINK('[1]реквизиты'!$A$6)</f>
        <v>Гл. судья, судья МК</v>
      </c>
      <c r="B73" s="108"/>
      <c r="C73" s="126"/>
      <c r="D73" s="127"/>
      <c r="E73" s="127"/>
      <c r="F73" s="127"/>
      <c r="G73" s="362" t="str">
        <f>'[2]реквизиты'!$G$7</f>
        <v>Р.М.Бабоян</v>
      </c>
      <c r="H73" s="362"/>
      <c r="I73" s="362"/>
      <c r="J73" s="356" t="str">
        <f>'[2]реквизиты'!$G$8</f>
        <v>/г.Армавир/</v>
      </c>
      <c r="K73" s="356"/>
      <c r="L73" s="126"/>
      <c r="M73" s="127"/>
      <c r="N73" s="127"/>
      <c r="O73" s="127"/>
      <c r="P73" s="110"/>
      <c r="Q73" s="110"/>
      <c r="R73" s="110"/>
      <c r="S73" s="110"/>
      <c r="T73" s="122" t="str">
        <f>'[2]реквизиты'!$A$8</f>
        <v>Гл. секретарь, судья МК</v>
      </c>
      <c r="U73" s="122"/>
      <c r="V73" s="126"/>
      <c r="W73" s="127"/>
      <c r="X73" s="127"/>
      <c r="Y73" s="127"/>
      <c r="Z73" s="110"/>
      <c r="AA73" s="110"/>
      <c r="AB73" s="355" t="str">
        <f>'[2]реквизиты'!$G$9</f>
        <v>Р.М.Закиров</v>
      </c>
      <c r="AC73" s="355"/>
      <c r="AD73" s="356" t="str">
        <f>'[2]реквизиты'!$G$10</f>
        <v>/г.Пермь/</v>
      </c>
      <c r="AE73" s="356"/>
    </row>
    <row r="74" spans="1:31" ht="12.75">
      <c r="A74" s="122"/>
      <c r="B74" s="122"/>
      <c r="C74" s="126"/>
      <c r="D74" s="127"/>
      <c r="E74" s="127"/>
      <c r="F74" s="127"/>
      <c r="G74" s="110"/>
      <c r="H74" s="115"/>
      <c r="I74" s="115"/>
      <c r="J74" s="110"/>
      <c r="K74" s="110"/>
      <c r="L74" s="110"/>
      <c r="M74" s="110"/>
      <c r="N74" s="110"/>
      <c r="O74" s="110"/>
      <c r="P74" s="110"/>
      <c r="Q74" s="126"/>
      <c r="R74" s="115"/>
      <c r="S74" s="115"/>
      <c r="T74" s="125"/>
      <c r="U74" s="108"/>
      <c r="V74" s="126"/>
      <c r="W74" s="126"/>
      <c r="X74" s="127"/>
      <c r="Y74" s="127"/>
      <c r="Z74" s="110"/>
      <c r="AA74" s="110"/>
      <c r="AB74" s="110"/>
      <c r="AC74" s="110"/>
      <c r="AD74" s="110"/>
      <c r="AE74" s="110"/>
    </row>
    <row r="75" spans="9:19" ht="12.75">
      <c r="I75" s="78"/>
      <c r="Q75" s="87"/>
      <c r="R75" s="78"/>
      <c r="S75" s="78"/>
    </row>
    <row r="76" spans="9:19" ht="12.75"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21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R19 R68 Q65 P62 O60 N58 N65 O67 P69" name="Диапазон2"/>
    <protectedRange sqref="N9 O11 P13 Q16 P20 O18 N16" name="Диапазон1"/>
  </protectedRanges>
  <mergeCells count="286">
    <mergeCell ref="AE44:AE45"/>
    <mergeCell ref="AE29:AE30"/>
    <mergeCell ref="AE64:AE65"/>
    <mergeCell ref="AE46:AE47"/>
    <mergeCell ref="AE48:AE49"/>
    <mergeCell ref="AE50:AE51"/>
    <mergeCell ref="AE52:AE53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7:A8"/>
    <mergeCell ref="B7:B8"/>
    <mergeCell ref="C7:C8"/>
    <mergeCell ref="D5:D6"/>
    <mergeCell ref="D7:D8"/>
    <mergeCell ref="B5:B6"/>
    <mergeCell ref="C5:C6"/>
    <mergeCell ref="A5:A6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D42:D43"/>
    <mergeCell ref="A40:A41"/>
    <mergeCell ref="B40:B41"/>
    <mergeCell ref="C40:C41"/>
    <mergeCell ref="B46:B47"/>
    <mergeCell ref="C46:C47"/>
    <mergeCell ref="D46:D47"/>
    <mergeCell ref="A44:A45"/>
    <mergeCell ref="B44:B45"/>
    <mergeCell ref="C44:C45"/>
    <mergeCell ref="D44:D45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C64:C65"/>
    <mergeCell ref="D64:D65"/>
    <mergeCell ref="B62:B63"/>
    <mergeCell ref="C62:C63"/>
    <mergeCell ref="D62:D63"/>
    <mergeCell ref="A64:A65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G73:I73"/>
    <mergeCell ref="J73:K73"/>
    <mergeCell ref="L56:M56"/>
    <mergeCell ref="L57:M57"/>
    <mergeCell ref="L59:M59"/>
    <mergeCell ref="L60:M60"/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A126">
      <selection activeCell="I184" sqref="A147:J184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72" t="s">
        <v>38</v>
      </c>
      <c r="C1" s="472"/>
      <c r="D1" s="472"/>
      <c r="E1" s="472"/>
      <c r="F1" s="472"/>
      <c r="G1" s="472"/>
      <c r="H1" s="472"/>
      <c r="I1" s="472"/>
      <c r="J1" s="472"/>
      <c r="L1" s="472" t="s">
        <v>38</v>
      </c>
      <c r="M1" s="472"/>
      <c r="N1" s="472"/>
      <c r="O1" s="472"/>
      <c r="P1" s="472"/>
      <c r="Q1" s="472"/>
      <c r="R1" s="472"/>
      <c r="S1" s="472"/>
      <c r="T1" s="472"/>
    </row>
    <row r="2" spans="2:20" ht="15.75" hidden="1">
      <c r="B2" s="473" t="str">
        <f>'пр.взв.'!D4</f>
        <v>в.к. 82 кг.</v>
      </c>
      <c r="C2" s="472"/>
      <c r="D2" s="472"/>
      <c r="E2" s="472"/>
      <c r="F2" s="472"/>
      <c r="G2" s="472"/>
      <c r="H2" s="472"/>
      <c r="I2" s="472"/>
      <c r="J2" s="472"/>
      <c r="L2" s="473" t="str">
        <f>B2</f>
        <v>в.к. 82 кг.</v>
      </c>
      <c r="M2" s="472"/>
      <c r="N2" s="472"/>
      <c r="O2" s="472"/>
      <c r="P2" s="472"/>
      <c r="Q2" s="472"/>
      <c r="R2" s="472"/>
      <c r="S2" s="472"/>
      <c r="T2" s="472"/>
    </row>
    <row r="3" spans="2:20" ht="15.75" hidden="1">
      <c r="B3" s="71" t="s">
        <v>39</v>
      </c>
      <c r="C3" s="72" t="s">
        <v>40</v>
      </c>
      <c r="D3" s="73" t="s">
        <v>47</v>
      </c>
      <c r="E3" s="73"/>
      <c r="F3" s="72"/>
      <c r="G3" s="71"/>
      <c r="H3" s="72"/>
      <c r="I3" s="72"/>
      <c r="J3" s="72"/>
      <c r="K3" s="72"/>
      <c r="L3" s="71" t="s">
        <v>1</v>
      </c>
      <c r="M3" s="72" t="s">
        <v>40</v>
      </c>
      <c r="N3" s="73" t="s">
        <v>47</v>
      </c>
      <c r="O3" s="73"/>
      <c r="P3" s="72"/>
      <c r="Q3" s="71"/>
      <c r="R3" s="72"/>
      <c r="S3" s="72"/>
      <c r="T3" s="72"/>
    </row>
    <row r="4" spans="1:20" ht="12.75" customHeight="1" hidden="1">
      <c r="A4" s="447" t="s">
        <v>42</v>
      </c>
      <c r="B4" s="449" t="s">
        <v>3</v>
      </c>
      <c r="C4" s="451" t="s">
        <v>4</v>
      </c>
      <c r="D4" s="453" t="s">
        <v>13</v>
      </c>
      <c r="E4" s="468" t="s">
        <v>14</v>
      </c>
      <c r="F4" s="469"/>
      <c r="G4" s="451" t="s">
        <v>15</v>
      </c>
      <c r="H4" s="455" t="s">
        <v>43</v>
      </c>
      <c r="I4" s="457" t="s">
        <v>16</v>
      </c>
      <c r="J4" s="458" t="s">
        <v>17</v>
      </c>
      <c r="K4" s="447" t="s">
        <v>42</v>
      </c>
      <c r="L4" s="449" t="s">
        <v>3</v>
      </c>
      <c r="M4" s="451" t="s">
        <v>4</v>
      </c>
      <c r="N4" s="453" t="s">
        <v>13</v>
      </c>
      <c r="O4" s="468" t="s">
        <v>14</v>
      </c>
      <c r="P4" s="469"/>
      <c r="Q4" s="451" t="s">
        <v>15</v>
      </c>
      <c r="R4" s="455" t="s">
        <v>43</v>
      </c>
      <c r="S4" s="457" t="s">
        <v>16</v>
      </c>
      <c r="T4" s="458" t="s">
        <v>17</v>
      </c>
    </row>
    <row r="5" spans="1:20" ht="13.5" customHeight="1" hidden="1" thickBot="1">
      <c r="A5" s="448"/>
      <c r="B5" s="450" t="s">
        <v>45</v>
      </c>
      <c r="C5" s="452"/>
      <c r="D5" s="454"/>
      <c r="E5" s="470"/>
      <c r="F5" s="471"/>
      <c r="G5" s="452"/>
      <c r="H5" s="456"/>
      <c r="I5" s="434"/>
      <c r="J5" s="459" t="s">
        <v>46</v>
      </c>
      <c r="K5" s="448"/>
      <c r="L5" s="450" t="s">
        <v>45</v>
      </c>
      <c r="M5" s="452"/>
      <c r="N5" s="454"/>
      <c r="O5" s="470"/>
      <c r="P5" s="471"/>
      <c r="Q5" s="452"/>
      <c r="R5" s="456"/>
      <c r="S5" s="434"/>
      <c r="T5" s="459" t="s">
        <v>46</v>
      </c>
    </row>
    <row r="6" spans="1:20" ht="12.75" customHeight="1" hidden="1">
      <c r="A6" s="435">
        <v>1</v>
      </c>
      <c r="B6" s="430">
        <v>1</v>
      </c>
      <c r="C6" s="438" t="str">
        <f>VLOOKUP(B6,'пр.взв.'!B$7:H$134,2,FALSE)</f>
        <v>ЖЕЛАГА Филипп Олегович</v>
      </c>
      <c r="D6" s="423" t="str">
        <f>VLOOKUP(B6,'пр.взв.'!B7:H134,3,FALSE)</f>
        <v>15.05.92, МС</v>
      </c>
      <c r="E6" s="423" t="str">
        <f>VLOOKUP(C6,'пр.взв.'!C7:I134,3,FALSE)</f>
        <v>ЦФО</v>
      </c>
      <c r="F6" s="423" t="str">
        <f>VLOOKUP(B6,'пр.взв.'!B1:H134,5,FALSE)</f>
        <v>Воронежская, Воронеж</v>
      </c>
      <c r="G6" s="464"/>
      <c r="H6" s="466"/>
      <c r="I6" s="280"/>
      <c r="J6" s="284"/>
      <c r="K6" s="427">
        <v>11</v>
      </c>
      <c r="L6" s="430">
        <v>2</v>
      </c>
      <c r="M6" s="438" t="str">
        <f>VLOOKUP(L6,'пр.взв.'!B$7:H$134,2,FALSE)</f>
        <v>ХОЧУЕВ Мурат Назирович</v>
      </c>
      <c r="N6" s="423" t="str">
        <f>VLOOKUP(L6,'пр.взв.'!B7:H134,3,FALSE)</f>
        <v>02.03.92, МС</v>
      </c>
      <c r="O6" s="423" t="str">
        <f>VLOOKUP(M6,'пр.взв.'!C7:I134,3,FALSE)</f>
        <v>СПБ</v>
      </c>
      <c r="P6" s="423" t="str">
        <f>VLOOKUP(L6,'пр.взв.'!B7:H134,5,FALSE)</f>
        <v>С-Петербург, Д</v>
      </c>
      <c r="Q6" s="464"/>
      <c r="R6" s="466"/>
      <c r="S6" s="280"/>
      <c r="T6" s="284"/>
    </row>
    <row r="7" spans="1:20" ht="12.75" customHeight="1" hidden="1">
      <c r="A7" s="436"/>
      <c r="B7" s="431"/>
      <c r="C7" s="439"/>
      <c r="D7" s="424"/>
      <c r="E7" s="424"/>
      <c r="F7" s="424"/>
      <c r="G7" s="424"/>
      <c r="H7" s="424"/>
      <c r="I7" s="320"/>
      <c r="J7" s="285"/>
      <c r="K7" s="428"/>
      <c r="L7" s="431"/>
      <c r="M7" s="439"/>
      <c r="N7" s="424"/>
      <c r="O7" s="424"/>
      <c r="P7" s="424"/>
      <c r="Q7" s="424"/>
      <c r="R7" s="424"/>
      <c r="S7" s="320"/>
      <c r="T7" s="285"/>
    </row>
    <row r="8" spans="1:20" ht="12.75" customHeight="1" hidden="1">
      <c r="A8" s="436"/>
      <c r="B8" s="417">
        <v>33</v>
      </c>
      <c r="C8" s="425" t="str">
        <f>VLOOKUP(B8,'пр.взв.'!B$7:H$134,2,FALSE)</f>
        <v>ФЕТИСОВ Алексей Игоревич</v>
      </c>
      <c r="D8" s="421" t="str">
        <f>VLOOKUP(B8,'пр.взв.'!B2:H136,3,FALSE)</f>
        <v>09.04.90 кмс</v>
      </c>
      <c r="E8" s="421" t="str">
        <f>VLOOKUP(C8,'пр.взв.'!C2:I136,3,FALSE)</f>
        <v>ЦФО</v>
      </c>
      <c r="F8" s="421" t="str">
        <f>VLOOKUP(B8,'пр.взв.'!B4:H136,5,FALSE)</f>
        <v>Московская, Дмитров</v>
      </c>
      <c r="G8" s="444"/>
      <c r="H8" s="444"/>
      <c r="I8" s="283"/>
      <c r="J8" s="283"/>
      <c r="K8" s="428"/>
      <c r="L8" s="417">
        <v>34</v>
      </c>
      <c r="M8" s="425" t="str">
        <f>VLOOKUP(L8,'пр.взв.'!B$2:H$136,2,FALSE)</f>
        <v>ПОЖИДАЕВ Егор Николаевич</v>
      </c>
      <c r="N8" s="421" t="str">
        <f>VLOOKUP(L8,'пр.взв.'!B1:H136,3,FALSE)</f>
        <v>18.07.91 кмс</v>
      </c>
      <c r="O8" s="421" t="str">
        <f>VLOOKUP(M8,'пр.взв.'!C1:I136,3,FALSE)</f>
        <v>СЗФО</v>
      </c>
      <c r="P8" s="421" t="str">
        <f>VLOOKUP(L8,'пр.взв.'!B9:H136,5,FALSE)</f>
        <v>Калининградская  Д</v>
      </c>
      <c r="Q8" s="444"/>
      <c r="R8" s="444"/>
      <c r="S8" s="283"/>
      <c r="T8" s="283"/>
    </row>
    <row r="9" spans="1:20" ht="13.5" customHeight="1" hidden="1" thickBot="1">
      <c r="A9" s="437"/>
      <c r="B9" s="418"/>
      <c r="C9" s="426"/>
      <c r="D9" s="422"/>
      <c r="E9" s="422"/>
      <c r="F9" s="422"/>
      <c r="G9" s="445"/>
      <c r="H9" s="445"/>
      <c r="I9" s="434"/>
      <c r="J9" s="434"/>
      <c r="K9" s="429"/>
      <c r="L9" s="418"/>
      <c r="M9" s="426"/>
      <c r="N9" s="422"/>
      <c r="O9" s="422"/>
      <c r="P9" s="422"/>
      <c r="Q9" s="445"/>
      <c r="R9" s="445"/>
      <c r="S9" s="434"/>
      <c r="T9" s="434"/>
    </row>
    <row r="10" spans="1:20" ht="12.75" customHeight="1" hidden="1">
      <c r="A10" s="435">
        <v>2</v>
      </c>
      <c r="B10" s="430">
        <v>17</v>
      </c>
      <c r="C10" s="438" t="str">
        <f>VLOOKUP(B10,'пр.взв.'!B$7:H$134,2,FALSE)</f>
        <v>КИРИЛЛОВ Никита Викторович</v>
      </c>
      <c r="D10" s="441" t="str">
        <f>VLOOKUP(B10,'пр.взв.'!B1:H138,3,FALSE)</f>
        <v>07.06.97, КМС</v>
      </c>
      <c r="E10" s="441" t="str">
        <f>VLOOKUP(C10,'пр.взв.'!C1:I138,3,FALSE)</f>
        <v>СФО</v>
      </c>
      <c r="F10" s="423" t="str">
        <f>VLOOKUP(B10,'пр.взв.'!B6:H138,5,FALSE)</f>
        <v>Новосибирская, Новосибирск, МО</v>
      </c>
      <c r="G10" s="460"/>
      <c r="H10" s="446"/>
      <c r="I10" s="440"/>
      <c r="J10" s="441"/>
      <c r="K10" s="427">
        <v>12</v>
      </c>
      <c r="L10" s="430">
        <v>18</v>
      </c>
      <c r="M10" s="438" t="str">
        <f>VLOOKUP(L10,'пр.взв.'!B$7:H$134,2,FALSE)</f>
        <v>АБДУЛКАДИРОВ Магомед Камингаджиевич</v>
      </c>
      <c r="N10" s="441" t="str">
        <f>VLOOKUP(L10,'пр.взв.'!B1:H138,3,FALSE)</f>
        <v>19.11.92, МС</v>
      </c>
      <c r="O10" s="441" t="str">
        <f>VLOOKUP(M10,'пр.взв.'!C1:I138,3,FALSE)</f>
        <v>СКФО</v>
      </c>
      <c r="P10" s="423" t="str">
        <f>VLOOKUP(L10,'пр.взв.'!B11:H138,5,FALSE)</f>
        <v>Ставропольский, Ставрополь,Д</v>
      </c>
      <c r="Q10" s="460"/>
      <c r="R10" s="446"/>
      <c r="S10" s="440"/>
      <c r="T10" s="441"/>
    </row>
    <row r="11" spans="1:20" ht="12.75" customHeight="1" hidden="1">
      <c r="A11" s="436"/>
      <c r="B11" s="431"/>
      <c r="C11" s="439"/>
      <c r="D11" s="424"/>
      <c r="E11" s="424"/>
      <c r="F11" s="424"/>
      <c r="G11" s="424"/>
      <c r="H11" s="424"/>
      <c r="I11" s="320"/>
      <c r="J11" s="285"/>
      <c r="K11" s="428"/>
      <c r="L11" s="431"/>
      <c r="M11" s="439"/>
      <c r="N11" s="424"/>
      <c r="O11" s="424"/>
      <c r="P11" s="424"/>
      <c r="Q11" s="424"/>
      <c r="R11" s="424"/>
      <c r="S11" s="320"/>
      <c r="T11" s="285"/>
    </row>
    <row r="12" spans="1:20" ht="12.75" customHeight="1" hidden="1">
      <c r="A12" s="436"/>
      <c r="B12" s="417">
        <v>49</v>
      </c>
      <c r="C12" s="425" t="str">
        <f>VLOOKUP(B12,'пр.взв.'!B$7:H$134,2,FALSE)</f>
        <v>СИДАКОВ Азамат Мурадович</v>
      </c>
      <c r="D12" s="421" t="str">
        <f>VLOOKUP(B12,'пр.взв.'!B1:H140,3,FALSE)</f>
        <v>29.03.83, МС</v>
      </c>
      <c r="E12" s="421" t="str">
        <f>VLOOKUP(C12,'пр.взв.'!C1:I140,3,FALSE)</f>
        <v>СКФО</v>
      </c>
      <c r="F12" s="421" t="str">
        <f>VLOOKUP(B12,'пр.взв.'!B8:H140,5,FALSE)</f>
        <v>Ставропольский, Ставрополь,Д</v>
      </c>
      <c r="G12" s="444"/>
      <c r="H12" s="444"/>
      <c r="I12" s="283"/>
      <c r="J12" s="283"/>
      <c r="K12" s="428"/>
      <c r="L12" s="417">
        <v>50</v>
      </c>
      <c r="M12" s="425" t="str">
        <f>VLOOKUP(L12,'пр.взв.'!B$2:H$136,2,FALSE)</f>
        <v>ПРИКАЗЧИКОВ Владимир Александрович</v>
      </c>
      <c r="N12" s="421" t="str">
        <f>VLOOKUP(L12,'пр.взв.'!B1:H140,3,FALSE)</f>
        <v>06.11.87, ЗМС</v>
      </c>
      <c r="O12" s="421" t="str">
        <f>VLOOKUP(M12,'пр.взв.'!C1:I140,3,FALSE)</f>
        <v>МОС</v>
      </c>
      <c r="P12" s="421" t="str">
        <f>VLOOKUP(L12,'пр.взв.'!B13:H140,5,FALSE)</f>
        <v>Москва, ВС</v>
      </c>
      <c r="Q12" s="444"/>
      <c r="R12" s="444"/>
      <c r="S12" s="283"/>
      <c r="T12" s="283"/>
    </row>
    <row r="13" spans="1:20" ht="13.5" customHeight="1" hidden="1" thickBot="1">
      <c r="A13" s="437"/>
      <c r="B13" s="418"/>
      <c r="C13" s="426"/>
      <c r="D13" s="422"/>
      <c r="E13" s="422"/>
      <c r="F13" s="422"/>
      <c r="G13" s="445"/>
      <c r="H13" s="445"/>
      <c r="I13" s="434"/>
      <c r="J13" s="434"/>
      <c r="K13" s="429"/>
      <c r="L13" s="418"/>
      <c r="M13" s="426"/>
      <c r="N13" s="422"/>
      <c r="O13" s="422"/>
      <c r="P13" s="422"/>
      <c r="Q13" s="445"/>
      <c r="R13" s="445"/>
      <c r="S13" s="434"/>
      <c r="T13" s="434"/>
    </row>
    <row r="14" spans="1:20" ht="12.75" customHeight="1" hidden="1">
      <c r="A14" s="435">
        <v>3</v>
      </c>
      <c r="B14" s="430">
        <v>9</v>
      </c>
      <c r="C14" s="438" t="str">
        <f>VLOOKUP(B14,'пр.взв.'!B$7:H$134,2,FALSE)</f>
        <v>ПОЗДЕЕВ Дмитрий Андреевич</v>
      </c>
      <c r="D14" s="423" t="str">
        <f>VLOOKUP(B14,'пр.взв.'!B1:H142,3,FALSE)</f>
        <v>06.05.95, МС</v>
      </c>
      <c r="E14" s="423" t="str">
        <f>VLOOKUP(C14,'пр.взв.'!C1:I142,3,FALSE)</f>
        <v>УФО</v>
      </c>
      <c r="F14" s="423" t="str">
        <f>VLOOKUP(B14,'пр.взв.'!B10:H142,5,FALSE)</f>
        <v>Свердловская, В.Пышма, Д</v>
      </c>
      <c r="G14" s="464"/>
      <c r="H14" s="466"/>
      <c r="I14" s="280"/>
      <c r="J14" s="284"/>
      <c r="K14" s="427">
        <v>13</v>
      </c>
      <c r="L14" s="430">
        <v>10</v>
      </c>
      <c r="M14" s="438" t="str">
        <f>VLOOKUP(L14,'пр.взв.'!B$7:H$134,2,FALSE)</f>
        <v>КИЯТОВ Заур Шумафович</v>
      </c>
      <c r="N14" s="423" t="str">
        <f>VLOOKUP(L14,'пр.взв.'!B1:H142,3,FALSE)</f>
        <v>16.06.92, КМС</v>
      </c>
      <c r="O14" s="423" t="str">
        <f>VLOOKUP(M14,'пр.взв.'!C1:I142,3,FALSE)</f>
        <v>ЮФО</v>
      </c>
      <c r="P14" s="423" t="str">
        <f>VLOOKUP(L14,'пр.взв.'!B15:H142,5,FALSE)</f>
        <v>Краснодарский, Лабинск, Д</v>
      </c>
      <c r="Q14" s="464"/>
      <c r="R14" s="466"/>
      <c r="S14" s="280"/>
      <c r="T14" s="284"/>
    </row>
    <row r="15" spans="1:20" ht="12.75" customHeight="1" hidden="1">
      <c r="A15" s="436"/>
      <c r="B15" s="431"/>
      <c r="C15" s="439"/>
      <c r="D15" s="424"/>
      <c r="E15" s="424"/>
      <c r="F15" s="424"/>
      <c r="G15" s="424"/>
      <c r="H15" s="424"/>
      <c r="I15" s="320"/>
      <c r="J15" s="285"/>
      <c r="K15" s="428"/>
      <c r="L15" s="431"/>
      <c r="M15" s="439"/>
      <c r="N15" s="424"/>
      <c r="O15" s="424"/>
      <c r="P15" s="424"/>
      <c r="Q15" s="424"/>
      <c r="R15" s="424"/>
      <c r="S15" s="320"/>
      <c r="T15" s="285"/>
    </row>
    <row r="16" spans="1:20" ht="12.75" customHeight="1" hidden="1">
      <c r="A16" s="436"/>
      <c r="B16" s="417">
        <v>41</v>
      </c>
      <c r="C16" s="425" t="str">
        <f>VLOOKUP(B16,'пр.взв.'!B$7:H$134,2,FALSE)</f>
        <v>ЛЕБЕДЕВ Георгий Андреевич</v>
      </c>
      <c r="D16" s="421" t="str">
        <f>VLOOKUP(B16,'пр.взв.'!B1:H144,3,FALSE)</f>
        <v>12.07.91. мсмк</v>
      </c>
      <c r="E16" s="421" t="str">
        <f>VLOOKUP(C16,'пр.взв.'!C1:I144,3,FALSE)</f>
        <v>ПФО</v>
      </c>
      <c r="F16" s="421" t="str">
        <f>VLOOKUP(B16,'пр.взв.'!B12:H144,5,FALSE)</f>
        <v>Пензенская, Пенза, Д</v>
      </c>
      <c r="G16" s="444"/>
      <c r="H16" s="444"/>
      <c r="I16" s="283"/>
      <c r="J16" s="283"/>
      <c r="K16" s="428"/>
      <c r="L16" s="417">
        <v>42</v>
      </c>
      <c r="M16" s="425" t="str">
        <f>VLOOKUP(L16,'пр.взв.'!B$2:H$136,2,FALSE)</f>
        <v>ПАХОМОВ Иван Геннадьевич</v>
      </c>
      <c r="N16" s="421" t="str">
        <f>VLOOKUP(L16,'пр.взв.'!B1:H144,3,FALSE)</f>
        <v>03.10.94, МС</v>
      </c>
      <c r="O16" s="421" t="str">
        <f>VLOOKUP(M16,'пр.взв.'!C1:I144,3,FALSE)</f>
        <v>ЦФО</v>
      </c>
      <c r="P16" s="421" t="str">
        <f>VLOOKUP(L16,'пр.взв.'!B17:H144,5,FALSE)</f>
        <v>Ярославская, Ярославль</v>
      </c>
      <c r="Q16" s="444"/>
      <c r="R16" s="444"/>
      <c r="S16" s="283"/>
      <c r="T16" s="283"/>
    </row>
    <row r="17" spans="1:20" ht="13.5" customHeight="1" hidden="1" thickBot="1">
      <c r="A17" s="437"/>
      <c r="B17" s="418"/>
      <c r="C17" s="426"/>
      <c r="D17" s="422"/>
      <c r="E17" s="422"/>
      <c r="F17" s="422"/>
      <c r="G17" s="445"/>
      <c r="H17" s="445"/>
      <c r="I17" s="434"/>
      <c r="J17" s="434"/>
      <c r="K17" s="429"/>
      <c r="L17" s="418"/>
      <c r="M17" s="426"/>
      <c r="N17" s="422"/>
      <c r="O17" s="422"/>
      <c r="P17" s="422"/>
      <c r="Q17" s="445"/>
      <c r="R17" s="445"/>
      <c r="S17" s="434"/>
      <c r="T17" s="434"/>
    </row>
    <row r="18" spans="1:20" ht="12.75" customHeight="1" hidden="1">
      <c r="A18" s="435">
        <v>4</v>
      </c>
      <c r="B18" s="430">
        <v>25</v>
      </c>
      <c r="C18" s="438" t="str">
        <f>VLOOKUP(B18,'пр.взв.'!B$7:H$134,2,FALSE)</f>
        <v>КАЗАРЯН Тигран Седракович</v>
      </c>
      <c r="D18" s="441" t="str">
        <f>VLOOKUP(B18,'пр.взв.'!B1:H146,3,FALSE)</f>
        <v>14.02.87 мс</v>
      </c>
      <c r="E18" s="441" t="str">
        <f>VLOOKUP(C18,'пр.взв.'!C1:I146,3,FALSE)</f>
        <v>КФО</v>
      </c>
      <c r="F18" s="423" t="str">
        <f>VLOOKUP(B18,'пр.взв.'!B14:H146,5,FALSE)</f>
        <v>Р. Крым, Симферополь</v>
      </c>
      <c r="G18" s="460"/>
      <c r="H18" s="446"/>
      <c r="I18" s="440"/>
      <c r="J18" s="441"/>
      <c r="K18" s="427">
        <v>20</v>
      </c>
      <c r="L18" s="430">
        <v>26</v>
      </c>
      <c r="M18" s="438" t="str">
        <f>VLOOKUP(L18,'пр.взв.'!B$7:H$134,2,FALSE)</f>
        <v>СУХОГУЗОВ Иван Сергеевич</v>
      </c>
      <c r="N18" s="441" t="str">
        <f>VLOOKUP(L18,'пр.взв.'!B1:H146,3,FALSE)</f>
        <v>19.02.92, МС</v>
      </c>
      <c r="O18" s="441" t="str">
        <f>VLOOKUP(M18,'пр.взв.'!C1:I146,3,FALSE)</f>
        <v>УФО</v>
      </c>
      <c r="P18" s="423" t="str">
        <f>VLOOKUP(L18,'пр.взв.'!B19:H146,5,FALSE)</f>
        <v>Свердловская, В.Пышма, Д</v>
      </c>
      <c r="Q18" s="424"/>
      <c r="R18" s="465"/>
      <c r="S18" s="320"/>
      <c r="T18" s="421"/>
    </row>
    <row r="19" spans="1:20" ht="12.75" customHeight="1" hidden="1">
      <c r="A19" s="436"/>
      <c r="B19" s="431"/>
      <c r="C19" s="439"/>
      <c r="D19" s="424"/>
      <c r="E19" s="424"/>
      <c r="F19" s="424"/>
      <c r="G19" s="424"/>
      <c r="H19" s="424"/>
      <c r="I19" s="320"/>
      <c r="J19" s="285"/>
      <c r="K19" s="428"/>
      <c r="L19" s="431"/>
      <c r="M19" s="439"/>
      <c r="N19" s="424"/>
      <c r="O19" s="424"/>
      <c r="P19" s="424"/>
      <c r="Q19" s="424"/>
      <c r="R19" s="424"/>
      <c r="S19" s="320"/>
      <c r="T19" s="285"/>
    </row>
    <row r="20" spans="1:20" ht="12.75" customHeight="1" hidden="1">
      <c r="A20" s="436"/>
      <c r="B20" s="417">
        <v>57</v>
      </c>
      <c r="C20" s="425" t="e">
        <f>VLOOKUP(B20,'пр.взв.'!B$7:H$134,2,FALSE)</f>
        <v>#N/A</v>
      </c>
      <c r="D20" s="421" t="e">
        <f>VLOOKUP(B20,'пр.взв.'!B2:H148,3,FALSE)</f>
        <v>#N/A</v>
      </c>
      <c r="E20" s="421" t="e">
        <f>VLOOKUP(C20,'пр.взв.'!C2:I148,3,FALSE)</f>
        <v>#N/A</v>
      </c>
      <c r="F20" s="421" t="e">
        <f>VLOOKUP(B20,'пр.взв.'!B16:H148,5,FALSE)</f>
        <v>#N/A</v>
      </c>
      <c r="G20" s="444"/>
      <c r="H20" s="444"/>
      <c r="I20" s="283"/>
      <c r="J20" s="283"/>
      <c r="K20" s="428"/>
      <c r="L20" s="417">
        <v>58</v>
      </c>
      <c r="M20" s="425" t="e">
        <f>VLOOKUP(L20,'пр.взв.'!B$2:H$136,2,FALSE)</f>
        <v>#N/A</v>
      </c>
      <c r="N20" s="421" t="e">
        <f>VLOOKUP(L20,'пр.взв.'!B2:H148,3,FALSE)</f>
        <v>#N/A</v>
      </c>
      <c r="O20" s="421" t="e">
        <f>VLOOKUP(M20,'пр.взв.'!C2:I148,3,FALSE)</f>
        <v>#N/A</v>
      </c>
      <c r="P20" s="421" t="e">
        <f>VLOOKUP(L20,'пр.взв.'!B21:H148,5,FALSE)</f>
        <v>#N/A</v>
      </c>
      <c r="Q20" s="444"/>
      <c r="R20" s="444"/>
      <c r="S20" s="283"/>
      <c r="T20" s="283"/>
    </row>
    <row r="21" spans="1:20" ht="13.5" customHeight="1" hidden="1" thickBot="1">
      <c r="A21" s="437"/>
      <c r="B21" s="418"/>
      <c r="C21" s="426"/>
      <c r="D21" s="422"/>
      <c r="E21" s="422"/>
      <c r="F21" s="422"/>
      <c r="G21" s="445"/>
      <c r="H21" s="445"/>
      <c r="I21" s="434"/>
      <c r="J21" s="434"/>
      <c r="K21" s="429"/>
      <c r="L21" s="418"/>
      <c r="M21" s="426"/>
      <c r="N21" s="422"/>
      <c r="O21" s="422"/>
      <c r="P21" s="422"/>
      <c r="Q21" s="445"/>
      <c r="R21" s="445"/>
      <c r="S21" s="434"/>
      <c r="T21" s="434"/>
    </row>
    <row r="22" spans="1:20" ht="12.75" customHeight="1" hidden="1">
      <c r="A22" s="436">
        <v>4</v>
      </c>
      <c r="B22" s="430">
        <v>5</v>
      </c>
      <c r="C22" s="438" t="str">
        <f>VLOOKUP(B22,'пр.взв.'!B$7:H$134,2,FALSE)</f>
        <v>ХЛОПЕЦКИЙ Владимир Анатольевич</v>
      </c>
      <c r="D22" s="423" t="str">
        <f>VLOOKUP(B22,'пр.взв.'!B2:H150,3,FALSE)</f>
        <v>27.11.87, МС</v>
      </c>
      <c r="E22" s="423" t="str">
        <f>VLOOKUP(C22,'пр.взв.'!C2:I150,3,FALSE)</f>
        <v>МОС</v>
      </c>
      <c r="F22" s="423" t="str">
        <f>VLOOKUP(B22,'пр.взв.'!B1:H150,5,FALSE)</f>
        <v>Москва, Д</v>
      </c>
      <c r="G22" s="464"/>
      <c r="H22" s="466"/>
      <c r="I22" s="280"/>
      <c r="J22" s="284"/>
      <c r="K22" s="427">
        <v>14</v>
      </c>
      <c r="L22" s="430">
        <v>6</v>
      </c>
      <c r="M22" s="438" t="str">
        <f>VLOOKUP(L22,'пр.взв.'!B$7:H$134,2,FALSE)</f>
        <v>ОПРЯ Павел Иванович</v>
      </c>
      <c r="N22" s="423" t="str">
        <f>VLOOKUP(L22,'пр.взв.'!B2:H150,3,FALSE)</f>
        <v>16.02.89, МС</v>
      </c>
      <c r="O22" s="423" t="str">
        <f>VLOOKUP(M22,'пр.взв.'!C2:I150,3,FALSE)</f>
        <v>ДВФО</v>
      </c>
      <c r="P22" s="423" t="str">
        <f>VLOOKUP(L22,'пр.взв.'!B2:H150,5,FALSE)</f>
        <v>Р.САХА Якутия</v>
      </c>
      <c r="Q22" s="464"/>
      <c r="R22" s="466"/>
      <c r="S22" s="280"/>
      <c r="T22" s="284"/>
    </row>
    <row r="23" spans="1:20" ht="12.75" customHeight="1" hidden="1">
      <c r="A23" s="436"/>
      <c r="B23" s="431"/>
      <c r="C23" s="439"/>
      <c r="D23" s="424"/>
      <c r="E23" s="424"/>
      <c r="F23" s="424"/>
      <c r="G23" s="424"/>
      <c r="H23" s="424"/>
      <c r="I23" s="320"/>
      <c r="J23" s="285"/>
      <c r="K23" s="428"/>
      <c r="L23" s="431"/>
      <c r="M23" s="439"/>
      <c r="N23" s="424"/>
      <c r="O23" s="424"/>
      <c r="P23" s="424"/>
      <c r="Q23" s="424"/>
      <c r="R23" s="424"/>
      <c r="S23" s="320"/>
      <c r="T23" s="285"/>
    </row>
    <row r="24" spans="1:20" ht="12.75" customHeight="1" hidden="1">
      <c r="A24" s="436"/>
      <c r="B24" s="417">
        <v>37</v>
      </c>
      <c r="C24" s="425" t="str">
        <f>VLOOKUP(B24,'пр.взв.'!B$7:H$134,2,FALSE)</f>
        <v>БОГДАНОВ Дмитрий Александрович</v>
      </c>
      <c r="D24" s="421" t="str">
        <f>VLOOKUP(B24,'пр.взв.'!B2:H152,3,FALSE)</f>
        <v>23.03.92, КМС</v>
      </c>
      <c r="E24" s="421" t="str">
        <f>VLOOKUP(C24,'пр.взв.'!C2:I152,3,FALSE)</f>
        <v>ЦФО</v>
      </c>
      <c r="F24" s="421" t="str">
        <f>VLOOKUP(B24,'пр.взв.'!B20:H152,5,FALSE)</f>
        <v>Ивановская, Иваново, ВС</v>
      </c>
      <c r="G24" s="444"/>
      <c r="H24" s="444"/>
      <c r="I24" s="283"/>
      <c r="J24" s="283"/>
      <c r="K24" s="428"/>
      <c r="L24" s="417">
        <v>38</v>
      </c>
      <c r="M24" s="425" t="str">
        <f>VLOOKUP(L24,'пр.взв.'!B$2:H$136,2,FALSE)</f>
        <v>ДЕМЬЯНЕНКО Сергей Александрович</v>
      </c>
      <c r="N24" s="421" t="str">
        <f>VLOOKUP(L24,'пр.взв.'!B2:H152,3,FALSE)</f>
        <v>13.02.92, МС</v>
      </c>
      <c r="O24" s="421" t="str">
        <f>VLOOKUP(M24,'пр.взв.'!C2:I152,3,FALSE)</f>
        <v>СФО</v>
      </c>
      <c r="P24" s="421" t="str">
        <f>VLOOKUP(L24,'пр.взв.'!B25:H152,5,FALSE)</f>
        <v>Омская, Омск, МО, СибГУФК</v>
      </c>
      <c r="Q24" s="444"/>
      <c r="R24" s="444"/>
      <c r="S24" s="283"/>
      <c r="T24" s="283"/>
    </row>
    <row r="25" spans="1:20" ht="13.5" customHeight="1" hidden="1" thickBot="1">
      <c r="A25" s="437"/>
      <c r="B25" s="418"/>
      <c r="C25" s="426"/>
      <c r="D25" s="422"/>
      <c r="E25" s="422"/>
      <c r="F25" s="422"/>
      <c r="G25" s="445"/>
      <c r="H25" s="445"/>
      <c r="I25" s="434"/>
      <c r="J25" s="434"/>
      <c r="K25" s="429"/>
      <c r="L25" s="418"/>
      <c r="M25" s="426"/>
      <c r="N25" s="422"/>
      <c r="O25" s="422"/>
      <c r="P25" s="422"/>
      <c r="Q25" s="445"/>
      <c r="R25" s="445"/>
      <c r="S25" s="434"/>
      <c r="T25" s="434"/>
    </row>
    <row r="26" spans="1:20" ht="12.75" customHeight="1" hidden="1">
      <c r="A26" s="435">
        <v>6</v>
      </c>
      <c r="B26" s="430">
        <v>21</v>
      </c>
      <c r="C26" s="438" t="str">
        <f>VLOOKUP(B26,'пр.взв.'!B$7:H$134,2,FALSE)</f>
        <v>МАТЕВОСЯН Левон Эдуардович</v>
      </c>
      <c r="D26" s="441" t="str">
        <f>VLOOKUP(B26,'пр.взв.'!B2:H154,3,FALSE)</f>
        <v>30.10.1988 мс</v>
      </c>
      <c r="E26" s="441" t="str">
        <f>VLOOKUP(C26,'пр.взв.'!C2:I154,3,FALSE)</f>
        <v>ЮФО</v>
      </c>
      <c r="F26" s="423" t="str">
        <f>VLOOKUP(B26,'пр.взв.'!B22:H154,5,FALSE)</f>
        <v>Краснодарский край Новоросийск, Д</v>
      </c>
      <c r="G26" s="460"/>
      <c r="H26" s="446"/>
      <c r="I26" s="440"/>
      <c r="J26" s="441"/>
      <c r="K26" s="427">
        <v>22</v>
      </c>
      <c r="L26" s="430">
        <v>22</v>
      </c>
      <c r="M26" s="438" t="str">
        <f>VLOOKUP(L26,'пр.взв.'!B$7:H$134,2,FALSE)</f>
        <v>КОТОВ Максим Сергеевич</v>
      </c>
      <c r="N26" s="441" t="str">
        <f>VLOOKUP(L26,'пр.взв.'!B2:H154,3,FALSE)</f>
        <v>16.08.95, мс</v>
      </c>
      <c r="O26" s="441" t="str">
        <f>VLOOKUP(M26,'пр.взв.'!C2:I154,3,FALSE)</f>
        <v>ПФО</v>
      </c>
      <c r="P26" s="423" t="str">
        <f>VLOOKUP(L26,'пр.взв.'!B27:H154,5,FALSE)</f>
        <v> Пермский, Пермь </v>
      </c>
      <c r="Q26" s="460"/>
      <c r="R26" s="446"/>
      <c r="S26" s="440"/>
      <c r="T26" s="441"/>
    </row>
    <row r="27" spans="1:20" ht="12.75" customHeight="1" hidden="1">
      <c r="A27" s="436"/>
      <c r="B27" s="431"/>
      <c r="C27" s="439"/>
      <c r="D27" s="424"/>
      <c r="E27" s="424"/>
      <c r="F27" s="424"/>
      <c r="G27" s="424"/>
      <c r="H27" s="424"/>
      <c r="I27" s="320"/>
      <c r="J27" s="285"/>
      <c r="K27" s="428"/>
      <c r="L27" s="431"/>
      <c r="M27" s="439"/>
      <c r="N27" s="424"/>
      <c r="O27" s="424"/>
      <c r="P27" s="424"/>
      <c r="Q27" s="424"/>
      <c r="R27" s="424"/>
      <c r="S27" s="320"/>
      <c r="T27" s="285"/>
    </row>
    <row r="28" spans="1:20" ht="12.75" customHeight="1" hidden="1">
      <c r="A28" s="436"/>
      <c r="B28" s="417">
        <v>53</v>
      </c>
      <c r="C28" s="425" t="str">
        <f>VLOOKUP(B28,'пр.взв.'!B$7:H$134,2,FALSE)</f>
        <v>ХАТХОХУ Байзет Заурбиевич</v>
      </c>
      <c r="D28" s="421" t="str">
        <f>VLOOKUP(B28,'пр.взв.'!B2:H156,3,FALSE)</f>
        <v>19.01.91 кмс</v>
      </c>
      <c r="E28" s="421" t="str">
        <f>VLOOKUP(C28,'пр.взв.'!C2:I156,3,FALSE)</f>
        <v>ЮФО</v>
      </c>
      <c r="F28" s="421" t="str">
        <f>VLOOKUP(B28,'пр.взв.'!B24:H156,5,FALSE)</f>
        <v>Краснодарский, Армавир</v>
      </c>
      <c r="G28" s="444"/>
      <c r="H28" s="444"/>
      <c r="I28" s="283"/>
      <c r="J28" s="283"/>
      <c r="K28" s="428"/>
      <c r="L28" s="417">
        <v>54</v>
      </c>
      <c r="M28" s="425" t="e">
        <f>VLOOKUP(L28,'пр.взв.'!B$2:H$136,2,FALSE)</f>
        <v>#N/A</v>
      </c>
      <c r="N28" s="421" t="e">
        <f>VLOOKUP(L28,'пр.взв.'!B2:H156,3,FALSE)</f>
        <v>#N/A</v>
      </c>
      <c r="O28" s="421" t="e">
        <f>VLOOKUP(M28,'пр.взв.'!C2:I156,3,FALSE)</f>
        <v>#N/A</v>
      </c>
      <c r="P28" s="421" t="e">
        <f>VLOOKUP(L28,'пр.взв.'!B29:H156,5,FALSE)</f>
        <v>#N/A</v>
      </c>
      <c r="Q28" s="444"/>
      <c r="R28" s="444"/>
      <c r="S28" s="283"/>
      <c r="T28" s="283"/>
    </row>
    <row r="29" spans="1:20" ht="13.5" customHeight="1" hidden="1" thickBot="1">
      <c r="A29" s="442"/>
      <c r="B29" s="418"/>
      <c r="C29" s="426"/>
      <c r="D29" s="422"/>
      <c r="E29" s="422"/>
      <c r="F29" s="422"/>
      <c r="G29" s="445"/>
      <c r="H29" s="445"/>
      <c r="I29" s="434"/>
      <c r="J29" s="434"/>
      <c r="K29" s="429"/>
      <c r="L29" s="418"/>
      <c r="M29" s="426"/>
      <c r="N29" s="422"/>
      <c r="O29" s="422"/>
      <c r="P29" s="422"/>
      <c r="Q29" s="445"/>
      <c r="R29" s="445"/>
      <c r="S29" s="434"/>
      <c r="T29" s="434"/>
    </row>
    <row r="30" spans="1:20" ht="12.75" customHeight="1" hidden="1">
      <c r="A30" s="435">
        <v>5</v>
      </c>
      <c r="B30" s="430">
        <v>13</v>
      </c>
      <c r="C30" s="438" t="str">
        <f>VLOOKUP(B30,'пр.взв.'!B$7:H$134,2,FALSE)</f>
        <v>КОКОВИЧ Илья Игоревич</v>
      </c>
      <c r="D30" s="423" t="str">
        <f>VLOOKUP(B30,'пр.взв.'!B4:H158,3,FALSE)</f>
        <v>15.06.88, МСМК</v>
      </c>
      <c r="E30" s="423" t="str">
        <f>VLOOKUP(C30,'пр.взв.'!C4:I158,3,FALSE)</f>
        <v>МОС</v>
      </c>
      <c r="F30" s="423" t="str">
        <f>VLOOKUP(B30,'пр.взв.'!B26:H158,5,FALSE)</f>
        <v>Москва, Д</v>
      </c>
      <c r="G30" s="464"/>
      <c r="H30" s="466"/>
      <c r="I30" s="280"/>
      <c r="J30" s="284"/>
      <c r="K30" s="427">
        <v>15</v>
      </c>
      <c r="L30" s="430">
        <v>14</v>
      </c>
      <c r="M30" s="438" t="str">
        <f>VLOOKUP(L30,'пр.взв.'!B$7:H$134,2,FALSE)</f>
        <v>МАКСИМОВ Евгений Олегович</v>
      </c>
      <c r="N30" s="423" t="str">
        <f>VLOOKUP(L30,'пр.взв.'!B4:H158,3,FALSE)</f>
        <v>09.06.87, МС</v>
      </c>
      <c r="O30" s="423" t="str">
        <f>VLOOKUP(M30,'пр.взв.'!C4:I158,3,FALSE)</f>
        <v>ЦФО</v>
      </c>
      <c r="P30" s="423" t="str">
        <f>VLOOKUP(L30,'пр.взв.'!B31:H158,5,FALSE)</f>
        <v>Московская, Мытищи</v>
      </c>
      <c r="Q30" s="464"/>
      <c r="R30" s="466"/>
      <c r="S30" s="280"/>
      <c r="T30" s="284"/>
    </row>
    <row r="31" spans="1:20" ht="12.75" customHeight="1" hidden="1">
      <c r="A31" s="436"/>
      <c r="B31" s="431"/>
      <c r="C31" s="439"/>
      <c r="D31" s="424"/>
      <c r="E31" s="424"/>
      <c r="F31" s="424"/>
      <c r="G31" s="424"/>
      <c r="H31" s="424"/>
      <c r="I31" s="320"/>
      <c r="J31" s="285"/>
      <c r="K31" s="428"/>
      <c r="L31" s="431"/>
      <c r="M31" s="439"/>
      <c r="N31" s="424"/>
      <c r="O31" s="424"/>
      <c r="P31" s="424"/>
      <c r="Q31" s="424"/>
      <c r="R31" s="424"/>
      <c r="S31" s="320"/>
      <c r="T31" s="285"/>
    </row>
    <row r="32" spans="1:20" ht="12.75" customHeight="1" hidden="1">
      <c r="A32" s="436"/>
      <c r="B32" s="417">
        <v>45</v>
      </c>
      <c r="C32" s="425" t="str">
        <f>VLOOKUP(B32,'пр.взв.'!B$7:H$134,2,FALSE)</f>
        <v>ДЁМИН Антон Александрович</v>
      </c>
      <c r="D32" s="421" t="str">
        <f>VLOOKUP(B32,'пр.взв.'!B4:H160,3,FALSE)</f>
        <v>16.10.89, МС</v>
      </c>
      <c r="E32" s="421" t="str">
        <f>VLOOKUP(C32,'пр.взв.'!C4:I160,3,FALSE)</f>
        <v>ПФО</v>
      </c>
      <c r="F32" s="421" t="str">
        <f>VLOOKUP(B32,'пр.взв.'!B28:H160,5,FALSE)</f>
        <v>Саратовская,Балашов</v>
      </c>
      <c r="G32" s="444"/>
      <c r="H32" s="444"/>
      <c r="I32" s="283"/>
      <c r="J32" s="283"/>
      <c r="K32" s="428"/>
      <c r="L32" s="417">
        <v>46</v>
      </c>
      <c r="M32" s="425" t="str">
        <f>VLOOKUP(L32,'пр.взв.'!B$2:H$136,2,FALSE)</f>
        <v>МОШЕНКО Никита Валерьевич</v>
      </c>
      <c r="N32" s="421" t="str">
        <f>VLOOKUP(L32,'пр.взв.'!B4:H160,3,FALSE)</f>
        <v>27.12.90, МС</v>
      </c>
      <c r="O32" s="421" t="str">
        <f>VLOOKUP(M32,'пр.взв.'!C4:I160,3,FALSE)</f>
        <v>МОС</v>
      </c>
      <c r="P32" s="421" t="str">
        <f>VLOOKUP(L32,'пр.взв.'!B33:H160,5,FALSE)</f>
        <v>Москва, Д</v>
      </c>
      <c r="Q32" s="444"/>
      <c r="R32" s="444"/>
      <c r="S32" s="283"/>
      <c r="T32" s="283"/>
    </row>
    <row r="33" spans="1:20" ht="13.5" customHeight="1" hidden="1" thickBot="1">
      <c r="A33" s="437"/>
      <c r="B33" s="418"/>
      <c r="C33" s="426"/>
      <c r="D33" s="422"/>
      <c r="E33" s="422"/>
      <c r="F33" s="422"/>
      <c r="G33" s="445"/>
      <c r="H33" s="445"/>
      <c r="I33" s="434"/>
      <c r="J33" s="434"/>
      <c r="K33" s="429"/>
      <c r="L33" s="418"/>
      <c r="M33" s="426"/>
      <c r="N33" s="422"/>
      <c r="O33" s="422"/>
      <c r="P33" s="422"/>
      <c r="Q33" s="445"/>
      <c r="R33" s="445"/>
      <c r="S33" s="434"/>
      <c r="T33" s="434"/>
    </row>
    <row r="34" spans="1:20" ht="12.75" customHeight="1" hidden="1">
      <c r="A34" s="435">
        <v>8</v>
      </c>
      <c r="B34" s="430">
        <v>29</v>
      </c>
      <c r="C34" s="438" t="str">
        <f>VLOOKUP(B34,'пр.взв.'!B$7:H$134,2,FALSE)</f>
        <v>ГЕРЕКОВ Рустам Магомедрасулович</v>
      </c>
      <c r="D34" s="441" t="str">
        <f>VLOOKUP(B34,'пр.взв.'!B4:H162,3,FALSE)</f>
        <v>25.07.95, МС</v>
      </c>
      <c r="E34" s="441" t="str">
        <f>VLOOKUP(C34,'пр.взв.'!C4:I162,3,FALSE)</f>
        <v>СПБ</v>
      </c>
      <c r="F34" s="441" t="str">
        <f>VLOOKUP(B34,'пр.взв.'!B30:H162,5,FALSE)</f>
        <v>С-Петербург, МО</v>
      </c>
      <c r="G34" s="460"/>
      <c r="H34" s="446"/>
      <c r="I34" s="440"/>
      <c r="J34" s="441"/>
      <c r="K34" s="467">
        <v>24</v>
      </c>
      <c r="L34" s="430">
        <v>30</v>
      </c>
      <c r="M34" s="438" t="str">
        <f>VLOOKUP(L34,'пр.взв.'!B$7:H$134,2,FALSE)</f>
        <v>ЕРМОЛАЕВ Сергей Алексеевич </v>
      </c>
      <c r="N34" s="423" t="str">
        <f>VLOOKUP(L34,'пр.взв.'!B4:H162,3,FALSE)</f>
        <v>14.07.89 мс</v>
      </c>
      <c r="O34" s="423" t="str">
        <f>VLOOKUP(M34,'пр.взв.'!C4:I162,3,FALSE)</f>
        <v>КФО</v>
      </c>
      <c r="P34" s="423" t="str">
        <f>VLOOKUP(L34,'пр.взв.'!B35:H162,5,FALSE)</f>
        <v>Р. Крым, Феодосия</v>
      </c>
      <c r="Q34" s="424"/>
      <c r="R34" s="465"/>
      <c r="S34" s="320"/>
      <c r="T34" s="421"/>
    </row>
    <row r="35" spans="1:20" ht="12.75" customHeight="1" hidden="1">
      <c r="A35" s="436"/>
      <c r="B35" s="431"/>
      <c r="C35" s="439"/>
      <c r="D35" s="424"/>
      <c r="E35" s="424"/>
      <c r="F35" s="424"/>
      <c r="G35" s="424"/>
      <c r="H35" s="424"/>
      <c r="I35" s="320"/>
      <c r="J35" s="285"/>
      <c r="K35" s="461"/>
      <c r="L35" s="431"/>
      <c r="M35" s="439"/>
      <c r="N35" s="424"/>
      <c r="O35" s="424"/>
      <c r="P35" s="424"/>
      <c r="Q35" s="424"/>
      <c r="R35" s="424"/>
      <c r="S35" s="320"/>
      <c r="T35" s="285"/>
    </row>
    <row r="36" spans="1:20" ht="12.75" customHeight="1" hidden="1">
      <c r="A36" s="436"/>
      <c r="B36" s="417">
        <v>61</v>
      </c>
      <c r="C36" s="425" t="e">
        <f>VLOOKUP(B36,'пр.взв.'!B$7:H$134,2,FALSE)</f>
        <v>#N/A</v>
      </c>
      <c r="D36" s="421" t="e">
        <f>VLOOKUP(B36,'пр.взв.'!B4:H164,3,FALSE)</f>
        <v>#N/A</v>
      </c>
      <c r="E36" s="421" t="e">
        <f>VLOOKUP(C36,'пр.взв.'!C4:I164,3,FALSE)</f>
        <v>#N/A</v>
      </c>
      <c r="F36" s="421" t="e">
        <f>VLOOKUP(B36,'пр.взв.'!B32:H164,5,FALSE)</f>
        <v>#N/A</v>
      </c>
      <c r="G36" s="444"/>
      <c r="H36" s="444"/>
      <c r="I36" s="283"/>
      <c r="J36" s="283"/>
      <c r="K36" s="461"/>
      <c r="L36" s="417">
        <v>62</v>
      </c>
      <c r="M36" s="425" t="e">
        <f>VLOOKUP(L36,'пр.взв.'!B$2:H$136,2,FALSE)</f>
        <v>#N/A</v>
      </c>
      <c r="N36" s="421" t="e">
        <f>VLOOKUP(L36,'пр.взв.'!B4:H164,3,FALSE)</f>
        <v>#N/A</v>
      </c>
      <c r="O36" s="421" t="e">
        <f>VLOOKUP(M36,'пр.взв.'!C4:I164,3,FALSE)</f>
        <v>#N/A</v>
      </c>
      <c r="P36" s="421" t="e">
        <f>VLOOKUP(L36,'пр.взв.'!B37:H164,5,FALSE)</f>
        <v>#N/A</v>
      </c>
      <c r="Q36" s="444"/>
      <c r="R36" s="444"/>
      <c r="S36" s="283"/>
      <c r="T36" s="283"/>
    </row>
    <row r="37" spans="1:20" ht="13.5" customHeight="1" hidden="1" thickBot="1">
      <c r="A37" s="442"/>
      <c r="B37" s="418"/>
      <c r="C37" s="426"/>
      <c r="D37" s="422"/>
      <c r="E37" s="422"/>
      <c r="F37" s="422"/>
      <c r="G37" s="445"/>
      <c r="H37" s="445"/>
      <c r="I37" s="434"/>
      <c r="J37" s="434"/>
      <c r="K37" s="462"/>
      <c r="L37" s="418"/>
      <c r="M37" s="426"/>
      <c r="N37" s="422"/>
      <c r="O37" s="422"/>
      <c r="P37" s="422"/>
      <c r="Q37" s="445"/>
      <c r="R37" s="445"/>
      <c r="S37" s="434"/>
      <c r="T37" s="434"/>
    </row>
    <row r="38" spans="1:21" ht="13.5" customHeight="1" hidden="1">
      <c r="A38" s="435">
        <v>6</v>
      </c>
      <c r="B38" s="463">
        <v>3</v>
      </c>
      <c r="C38" s="438" t="str">
        <f>VLOOKUP(B38,'пр.взв.'!B$7:H$134,2,FALSE)</f>
        <v>ВИНОГРАДОВ Иван Владимирович</v>
      </c>
      <c r="D38" s="423" t="str">
        <f>VLOOKUP(B38,'пр.взв.'!B4:H166,3,FALSE)</f>
        <v>28.02.90, МС</v>
      </c>
      <c r="E38" s="423" t="str">
        <f>VLOOKUP(C38,'пр.взв.'!C4:I166,3,FALSE)</f>
        <v>ЦФО</v>
      </c>
      <c r="F38" s="423" t="str">
        <f>VLOOKUP(B38,'пр.взв.'!B4:H166,5,FALSE)</f>
        <v>Ярославская, Ярославль</v>
      </c>
      <c r="G38" s="464"/>
      <c r="H38" s="466"/>
      <c r="I38" s="280"/>
      <c r="J38" s="284"/>
      <c r="K38" s="461">
        <v>16</v>
      </c>
      <c r="L38" s="463">
        <v>4</v>
      </c>
      <c r="M38" s="438" t="str">
        <f>VLOOKUP(L38,'пр.взв.'!B$7:H$134,2,FALSE)</f>
        <v>ТЫЩЕНКО  Никита Викторович</v>
      </c>
      <c r="N38" s="423" t="str">
        <f>VLOOKUP(L38,'пр.взв.'!B4:H166,3,FALSE)</f>
        <v>13.04.1990, мс</v>
      </c>
      <c r="O38" s="423" t="str">
        <f>VLOOKUP(M38,'пр.взв.'!C4:I166,3,FALSE)</f>
        <v>СЕВ</v>
      </c>
      <c r="P38" s="423" t="str">
        <f>VLOOKUP(L38,'пр.взв.'!B4:H166,5,FALSE)</f>
        <v>Севастополь</v>
      </c>
      <c r="Q38" s="464"/>
      <c r="R38" s="466"/>
      <c r="S38" s="280"/>
      <c r="T38" s="453"/>
      <c r="U38" s="12"/>
    </row>
    <row r="39" spans="1:21" ht="12.75" customHeight="1" hidden="1">
      <c r="A39" s="436"/>
      <c r="B39" s="431"/>
      <c r="C39" s="439"/>
      <c r="D39" s="424"/>
      <c r="E39" s="424"/>
      <c r="F39" s="424"/>
      <c r="G39" s="424"/>
      <c r="H39" s="424"/>
      <c r="I39" s="320"/>
      <c r="J39" s="285"/>
      <c r="K39" s="461"/>
      <c r="L39" s="431"/>
      <c r="M39" s="439"/>
      <c r="N39" s="424"/>
      <c r="O39" s="424"/>
      <c r="P39" s="424"/>
      <c r="Q39" s="424"/>
      <c r="R39" s="424"/>
      <c r="S39" s="320"/>
      <c r="T39" s="285"/>
      <c r="U39" s="12"/>
    </row>
    <row r="40" spans="1:21" ht="12.75" customHeight="1" hidden="1">
      <c r="A40" s="436"/>
      <c r="B40" s="417">
        <v>35</v>
      </c>
      <c r="C40" s="425" t="str">
        <f>VLOOKUP(B40,'пр.взв.'!B$7:H$134,2,FALSE)</f>
        <v>АБДОКОВ Ринат Рамазанович</v>
      </c>
      <c r="D40" s="421" t="str">
        <f>VLOOKUP(B40,'пр.взв.'!B5:H168,3,FALSE)</f>
        <v>15.05.90, КМС</v>
      </c>
      <c r="E40" s="421" t="str">
        <f>VLOOKUP(C40,'пр.взв.'!C5:I168,3,FALSE)</f>
        <v>СКФО</v>
      </c>
      <c r="F40" s="421" t="str">
        <f>VLOOKUP(B40,'пр.взв.'!B36:H168,5,FALSE)</f>
        <v>КЧР, МО</v>
      </c>
      <c r="G40" s="444"/>
      <c r="H40" s="444"/>
      <c r="I40" s="283"/>
      <c r="J40" s="283"/>
      <c r="K40" s="461"/>
      <c r="L40" s="417">
        <v>36</v>
      </c>
      <c r="M40" s="425" t="str">
        <f>VLOOKUP(L40,'пр.взв.'!B$2:H$136,2,FALSE)</f>
        <v>НОВИКОВ Семён Сергеевич</v>
      </c>
      <c r="N40" s="421" t="str">
        <f>VLOOKUP(L40,'пр.взв.'!B5:H168,3,FALSE)</f>
        <v>07.08.95, МС</v>
      </c>
      <c r="O40" s="421" t="str">
        <f>VLOOKUP(M40,'пр.взв.'!C5:I168,3,FALSE)</f>
        <v>МОС</v>
      </c>
      <c r="P40" s="421" t="str">
        <f>VLOOKUP(L40,'пр.взв.'!B41:H168,5,FALSE)</f>
        <v>Москва</v>
      </c>
      <c r="Q40" s="444"/>
      <c r="R40" s="444"/>
      <c r="S40" s="283"/>
      <c r="T40" s="283"/>
      <c r="U40" s="12"/>
    </row>
    <row r="41" spans="1:21" ht="13.5" customHeight="1" hidden="1" thickBot="1">
      <c r="A41" s="437"/>
      <c r="B41" s="418"/>
      <c r="C41" s="426"/>
      <c r="D41" s="422"/>
      <c r="E41" s="422"/>
      <c r="F41" s="422"/>
      <c r="G41" s="445"/>
      <c r="H41" s="445"/>
      <c r="I41" s="434"/>
      <c r="J41" s="434"/>
      <c r="K41" s="462"/>
      <c r="L41" s="418"/>
      <c r="M41" s="426"/>
      <c r="N41" s="422"/>
      <c r="O41" s="422"/>
      <c r="P41" s="422"/>
      <c r="Q41" s="445"/>
      <c r="R41" s="445"/>
      <c r="S41" s="434"/>
      <c r="T41" s="434"/>
      <c r="U41" s="12"/>
    </row>
    <row r="42" spans="1:20" ht="12.75" customHeight="1" hidden="1">
      <c r="A42" s="435">
        <v>7</v>
      </c>
      <c r="B42" s="430">
        <v>19</v>
      </c>
      <c r="C42" s="438" t="str">
        <f>VLOOKUP(B42,'пр.взв.'!B$7:H$134,2,FALSE)</f>
        <v>ГАЛСТЯН Самвел Мкртичович</v>
      </c>
      <c r="D42" s="441" t="str">
        <f>VLOOKUP(B42,'пр.взв.'!B5:H170,3,FALSE)</f>
        <v>22.07.93 мс</v>
      </c>
      <c r="E42" s="441" t="str">
        <f>VLOOKUP(C42,'пр.взв.'!C5:I170,3,FALSE)</f>
        <v>ЮФО</v>
      </c>
      <c r="F42" s="423" t="str">
        <f>VLOOKUP(B42,'пр.взв.'!B38:H170,5,FALSE)</f>
        <v>Краснодарский, Армавир</v>
      </c>
      <c r="G42" s="460"/>
      <c r="H42" s="446"/>
      <c r="I42" s="440"/>
      <c r="J42" s="441"/>
      <c r="K42" s="427">
        <v>17</v>
      </c>
      <c r="L42" s="430">
        <v>20</v>
      </c>
      <c r="M42" s="438" t="str">
        <f>VLOOKUP(L42,'пр.взв.'!B$7:H$134,2,FALSE)</f>
        <v>БАШКИРОВ Юрий Юрьевич</v>
      </c>
      <c r="N42" s="441" t="str">
        <f>VLOOKUP(L42,'пр.взв.'!B5:H170,3,FALSE)</f>
        <v>07.11.92, МС</v>
      </c>
      <c r="O42" s="441" t="str">
        <f>VLOOKUP(M42,'пр.взв.'!C5:I170,3,FALSE)</f>
        <v>ДВФО</v>
      </c>
      <c r="P42" s="423" t="str">
        <f>VLOOKUP(L42,'пр.взв.'!B43:H170,5,FALSE)</f>
        <v>Хабаровский, Хабаровск, Д</v>
      </c>
      <c r="Q42" s="460"/>
      <c r="R42" s="446"/>
      <c r="S42" s="440"/>
      <c r="T42" s="441"/>
    </row>
    <row r="43" spans="1:20" ht="12.75" customHeight="1" hidden="1">
      <c r="A43" s="436"/>
      <c r="B43" s="431"/>
      <c r="C43" s="439"/>
      <c r="D43" s="424"/>
      <c r="E43" s="424"/>
      <c r="F43" s="424"/>
      <c r="G43" s="424"/>
      <c r="H43" s="424"/>
      <c r="I43" s="320"/>
      <c r="J43" s="285"/>
      <c r="K43" s="428"/>
      <c r="L43" s="431"/>
      <c r="M43" s="439"/>
      <c r="N43" s="424"/>
      <c r="O43" s="424"/>
      <c r="P43" s="424"/>
      <c r="Q43" s="424"/>
      <c r="R43" s="424"/>
      <c r="S43" s="320"/>
      <c r="T43" s="285"/>
    </row>
    <row r="44" spans="1:20" ht="12.75" customHeight="1" hidden="1">
      <c r="A44" s="436"/>
      <c r="B44" s="417">
        <v>51</v>
      </c>
      <c r="C44" s="425" t="str">
        <f>VLOOKUP(B44,'пр.взв.'!B$7:H$134,2,FALSE)</f>
        <v>КОЖЕВНИКОВ Семен Николаевич</v>
      </c>
      <c r="D44" s="421" t="str">
        <f>VLOOKUP(B44,'пр.взв.'!B5:H172,3,FALSE)</f>
        <v>21.11.88, МС</v>
      </c>
      <c r="E44" s="421" t="str">
        <f>VLOOKUP(C44,'пр.взв.'!C5:I172,3,FALSE)</f>
        <v>СФО</v>
      </c>
      <c r="F44" s="421" t="str">
        <f>VLOOKUP(B44,'пр.взв.'!B40:H172,5,FALSE)</f>
        <v>Красноярский, Сосновоборск МО</v>
      </c>
      <c r="G44" s="444"/>
      <c r="H44" s="444"/>
      <c r="I44" s="283"/>
      <c r="J44" s="283"/>
      <c r="K44" s="428"/>
      <c r="L44" s="417">
        <v>52</v>
      </c>
      <c r="M44" s="425" t="str">
        <f>VLOOKUP(L44,'пр.взв.'!B$2:H$136,2,FALSE)</f>
        <v>МКРДУМЯН Гагик Гайкович</v>
      </c>
      <c r="N44" s="421" t="str">
        <f>VLOOKUP(L44,'пр.взв.'!B5:H172,3,FALSE)</f>
        <v>05.06.93 мс</v>
      </c>
      <c r="O44" s="421" t="str">
        <f>VLOOKUP(M44,'пр.взв.'!C5:I172,3,FALSE)</f>
        <v>ЮФО</v>
      </c>
      <c r="P44" s="421" t="str">
        <f>VLOOKUP(L44,'пр.взв.'!B45:H172,5,FALSE)</f>
        <v>Краснодарский край Армавир, Д</v>
      </c>
      <c r="Q44" s="444"/>
      <c r="R44" s="444"/>
      <c r="S44" s="283"/>
      <c r="T44" s="283"/>
    </row>
    <row r="45" spans="1:20" ht="13.5" customHeight="1" hidden="1" thickBot="1">
      <c r="A45" s="442"/>
      <c r="B45" s="418"/>
      <c r="C45" s="426"/>
      <c r="D45" s="422"/>
      <c r="E45" s="422"/>
      <c r="F45" s="422"/>
      <c r="G45" s="445"/>
      <c r="H45" s="445"/>
      <c r="I45" s="434"/>
      <c r="J45" s="434"/>
      <c r="K45" s="429"/>
      <c r="L45" s="418"/>
      <c r="M45" s="426"/>
      <c r="N45" s="422"/>
      <c r="O45" s="422"/>
      <c r="P45" s="422"/>
      <c r="Q45" s="445"/>
      <c r="R45" s="445"/>
      <c r="S45" s="434"/>
      <c r="T45" s="434"/>
    </row>
    <row r="46" spans="1:20" ht="12.75" customHeight="1" hidden="1">
      <c r="A46" s="435">
        <v>8</v>
      </c>
      <c r="B46" s="430">
        <v>11</v>
      </c>
      <c r="C46" s="438" t="str">
        <f>VLOOKUP(B46,'пр.взв.'!B$7:H$134,2,FALSE)</f>
        <v>СУХАНОВ Денис Николаевич</v>
      </c>
      <c r="D46" s="423" t="str">
        <f>VLOOKUP(B46,'пр.взв.'!B5:H174,3,FALSE)</f>
        <v>22.03.91 мсмк</v>
      </c>
      <c r="E46" s="423" t="str">
        <f>VLOOKUP(C46,'пр.взв.'!C5:I174,3,FALSE)</f>
        <v>УФО</v>
      </c>
      <c r="F46" s="423" t="str">
        <f>VLOOKUP(B46,'пр.взв.'!B5:H174,5,FALSE)</f>
        <v>Курганская Курган</v>
      </c>
      <c r="G46" s="464"/>
      <c r="H46" s="466"/>
      <c r="I46" s="280"/>
      <c r="J46" s="284"/>
      <c r="K46" s="427">
        <v>18</v>
      </c>
      <c r="L46" s="430">
        <v>12</v>
      </c>
      <c r="M46" s="438" t="str">
        <f>VLOOKUP(L46,'пр.взв.'!B$7:H$134,2,FALSE)</f>
        <v>КРИВЫХ Никита Александрович</v>
      </c>
      <c r="N46" s="423" t="str">
        <f>VLOOKUP(L46,'пр.взв.'!B5:H174,3,FALSE)</f>
        <v>22.11.93 кмс</v>
      </c>
      <c r="O46" s="423" t="str">
        <f>VLOOKUP(M46,'пр.взв.'!C5:I174,3,FALSE)</f>
        <v>УФО</v>
      </c>
      <c r="P46" s="423" t="str">
        <f>VLOOKUP(L46,'пр.взв.'!B5:H174,5,FALSE)</f>
        <v>Курганская, Шадринск</v>
      </c>
      <c r="Q46" s="464"/>
      <c r="R46" s="466"/>
      <c r="S46" s="280"/>
      <c r="T46" s="284"/>
    </row>
    <row r="47" spans="1:20" ht="12.75" customHeight="1" hidden="1">
      <c r="A47" s="436"/>
      <c r="B47" s="431"/>
      <c r="C47" s="439"/>
      <c r="D47" s="424"/>
      <c r="E47" s="424"/>
      <c r="F47" s="424"/>
      <c r="G47" s="424"/>
      <c r="H47" s="424"/>
      <c r="I47" s="320"/>
      <c r="J47" s="285"/>
      <c r="K47" s="428"/>
      <c r="L47" s="431"/>
      <c r="M47" s="439"/>
      <c r="N47" s="424"/>
      <c r="O47" s="424"/>
      <c r="P47" s="424"/>
      <c r="Q47" s="424"/>
      <c r="R47" s="424"/>
      <c r="S47" s="320"/>
      <c r="T47" s="285"/>
    </row>
    <row r="48" spans="1:20" ht="12.75" customHeight="1" hidden="1">
      <c r="A48" s="436"/>
      <c r="B48" s="417">
        <v>43</v>
      </c>
      <c r="C48" s="425" t="str">
        <f>VLOOKUP(B48,'пр.взв.'!B$7:H$134,2,FALSE)</f>
        <v>ПУЖАЕВ Владимир Владимирович</v>
      </c>
      <c r="D48" s="421" t="str">
        <f>VLOOKUP(B48,'пр.взв.'!B5:H176,3,FALSE)</f>
        <v>11.06.91, МСМК</v>
      </c>
      <c r="E48" s="421" t="str">
        <f>VLOOKUP(C48,'пр.взв.'!C5:I176,3,FALSE)</f>
        <v>МОС</v>
      </c>
      <c r="F48" s="421" t="str">
        <f>VLOOKUP(B48,'пр.взв.'!B44:H176,5,FALSE)</f>
        <v>Москва, Д</v>
      </c>
      <c r="G48" s="444"/>
      <c r="H48" s="444"/>
      <c r="I48" s="283"/>
      <c r="J48" s="283"/>
      <c r="K48" s="428"/>
      <c r="L48" s="417">
        <v>44</v>
      </c>
      <c r="M48" s="425" t="str">
        <f>VLOOKUP(L48,'пр.взв.'!B$2:H$136,2,FALSE)</f>
        <v>РЫБИН Дмитрий Сергеевич</v>
      </c>
      <c r="N48" s="421" t="str">
        <f>VLOOKUP(L48,'пр.взв.'!B5:H176,3,FALSE)</f>
        <v>18.08.93 мс</v>
      </c>
      <c r="O48" s="421" t="str">
        <f>VLOOKUP(M48,'пр.взв.'!C5:I176,3,FALSE)</f>
        <v>ЦФО</v>
      </c>
      <c r="P48" s="421" t="str">
        <f>VLOOKUP(L48,'пр.взв.'!B49:H176,5,FALSE)</f>
        <v>Московская, Дмитров</v>
      </c>
      <c r="Q48" s="444"/>
      <c r="R48" s="444"/>
      <c r="S48" s="283"/>
      <c r="T48" s="283"/>
    </row>
    <row r="49" spans="1:20" ht="13.5" customHeight="1" hidden="1" thickBot="1">
      <c r="A49" s="437"/>
      <c r="B49" s="418"/>
      <c r="C49" s="426"/>
      <c r="D49" s="422"/>
      <c r="E49" s="422"/>
      <c r="F49" s="422"/>
      <c r="G49" s="445"/>
      <c r="H49" s="445"/>
      <c r="I49" s="434"/>
      <c r="J49" s="434"/>
      <c r="K49" s="429"/>
      <c r="L49" s="418"/>
      <c r="M49" s="426"/>
      <c r="N49" s="422"/>
      <c r="O49" s="422"/>
      <c r="P49" s="422"/>
      <c r="Q49" s="445"/>
      <c r="R49" s="445"/>
      <c r="S49" s="434"/>
      <c r="T49" s="434"/>
    </row>
    <row r="50" spans="1:20" ht="12.75" customHeight="1" hidden="1">
      <c r="A50" s="435">
        <v>12</v>
      </c>
      <c r="B50" s="430">
        <v>27</v>
      </c>
      <c r="C50" s="438" t="str">
        <f>VLOOKUP(B50,'пр.взв.'!B$7:H$134,2,FALSE)</f>
        <v>КИРЮХИН Сергей Александрович</v>
      </c>
      <c r="D50" s="441" t="str">
        <f>VLOOKUP(B50,'пр.взв.'!B6:H178,3,FALSE)</f>
        <v>23.02.87, ЗМС</v>
      </c>
      <c r="E50" s="441" t="str">
        <f>VLOOKUP(C50,'пр.взв.'!C6:I178,3,FALSE)</f>
        <v>СПБ</v>
      </c>
      <c r="F50" s="423" t="str">
        <f>VLOOKUP(B50,'пр.взв.'!B46:H178,5,FALSE)</f>
        <v>С-Петербург, ВС</v>
      </c>
      <c r="G50" s="460"/>
      <c r="H50" s="446"/>
      <c r="I50" s="440"/>
      <c r="J50" s="441"/>
      <c r="K50" s="427">
        <v>28</v>
      </c>
      <c r="L50" s="430">
        <v>28</v>
      </c>
      <c r="M50" s="438" t="str">
        <f>VLOOKUP(L50,'пр.взв.'!B$7:H$134,2,FALSE)</f>
        <v>УЛЬЯХОВ Александр Александрович </v>
      </c>
      <c r="N50" s="441" t="str">
        <f>VLOOKUP(L50,'пр.взв.'!B6:H178,3,FALSE)</f>
        <v>16.07.88 мс</v>
      </c>
      <c r="O50" s="441" t="str">
        <f>VLOOKUP(M50,'пр.взв.'!C6:I178,3,FALSE)</f>
        <v>ЦФО</v>
      </c>
      <c r="P50" s="423" t="str">
        <f>VLOOKUP(L50,'пр.взв.'!B51:H178,5,FALSE)</f>
        <v>Брянская Брянск Д</v>
      </c>
      <c r="Q50" s="424"/>
      <c r="R50" s="465"/>
      <c r="S50" s="320"/>
      <c r="T50" s="421"/>
    </row>
    <row r="51" spans="1:20" ht="12.75" customHeight="1" hidden="1">
      <c r="A51" s="436"/>
      <c r="B51" s="431"/>
      <c r="C51" s="439"/>
      <c r="D51" s="424"/>
      <c r="E51" s="424"/>
      <c r="F51" s="424"/>
      <c r="G51" s="424"/>
      <c r="H51" s="424"/>
      <c r="I51" s="320"/>
      <c r="J51" s="285"/>
      <c r="K51" s="428"/>
      <c r="L51" s="431"/>
      <c r="M51" s="439"/>
      <c r="N51" s="424"/>
      <c r="O51" s="424"/>
      <c r="P51" s="424"/>
      <c r="Q51" s="424"/>
      <c r="R51" s="424"/>
      <c r="S51" s="320"/>
      <c r="T51" s="285"/>
    </row>
    <row r="52" spans="1:20" ht="12.75" customHeight="1" hidden="1">
      <c r="A52" s="436"/>
      <c r="B52" s="417">
        <v>59</v>
      </c>
      <c r="C52" s="425" t="e">
        <f>VLOOKUP(B52,'пр.взв.'!B$7:H$134,2,FALSE)</f>
        <v>#N/A</v>
      </c>
      <c r="D52" s="421" t="e">
        <f>VLOOKUP(B52,'пр.взв.'!B6:H180,3,FALSE)</f>
        <v>#N/A</v>
      </c>
      <c r="E52" s="421" t="e">
        <f>VLOOKUP(C52,'пр.взв.'!C6:I180,3,FALSE)</f>
        <v>#N/A</v>
      </c>
      <c r="F52" s="421" t="e">
        <f>VLOOKUP(B52,'пр.взв.'!B48:H180,5,FALSE)</f>
        <v>#N/A</v>
      </c>
      <c r="G52" s="444"/>
      <c r="H52" s="444"/>
      <c r="I52" s="283"/>
      <c r="J52" s="283"/>
      <c r="K52" s="428"/>
      <c r="L52" s="417">
        <v>60</v>
      </c>
      <c r="M52" s="425" t="e">
        <f>VLOOKUP(L52,'пр.взв.'!B$2:H$136,2,FALSE)</f>
        <v>#N/A</v>
      </c>
      <c r="N52" s="421" t="e">
        <f>VLOOKUP(L52,'пр.взв.'!B6:H180,3,FALSE)</f>
        <v>#N/A</v>
      </c>
      <c r="O52" s="421" t="e">
        <f>VLOOKUP(M52,'пр.взв.'!C6:I180,3,FALSE)</f>
        <v>#N/A</v>
      </c>
      <c r="P52" s="421" t="e">
        <f>VLOOKUP(L52,'пр.взв.'!B53:H180,5,FALSE)</f>
        <v>#N/A</v>
      </c>
      <c r="Q52" s="444"/>
      <c r="R52" s="444"/>
      <c r="S52" s="283"/>
      <c r="T52" s="283"/>
    </row>
    <row r="53" spans="1:20" ht="13.5" customHeight="1" hidden="1" thickBot="1">
      <c r="A53" s="442"/>
      <c r="B53" s="418"/>
      <c r="C53" s="426"/>
      <c r="D53" s="422"/>
      <c r="E53" s="422"/>
      <c r="F53" s="422"/>
      <c r="G53" s="445"/>
      <c r="H53" s="445"/>
      <c r="I53" s="434"/>
      <c r="J53" s="434"/>
      <c r="K53" s="429"/>
      <c r="L53" s="418"/>
      <c r="M53" s="426"/>
      <c r="N53" s="422"/>
      <c r="O53" s="422"/>
      <c r="P53" s="422"/>
      <c r="Q53" s="445"/>
      <c r="R53" s="445"/>
      <c r="S53" s="434"/>
      <c r="T53" s="434"/>
    </row>
    <row r="54" spans="1:20" ht="12.75" customHeight="1" hidden="1">
      <c r="A54" s="435">
        <v>9</v>
      </c>
      <c r="B54" s="430">
        <v>7</v>
      </c>
      <c r="C54" s="438" t="str">
        <f>VLOOKUP(B54,'пр.взв.'!B$7:H$134,2,FALSE)</f>
        <v>АДАЕВ Исмаил Залимханович</v>
      </c>
      <c r="D54" s="423" t="str">
        <f>VLOOKUP(B54,'пр.взв.'!B6:H182,3,FALSE)</f>
        <v>09.04.94, КМС</v>
      </c>
      <c r="E54" s="423" t="str">
        <f>VLOOKUP(C54,'пр.взв.'!C6:I182,3,FALSE)</f>
        <v>УФО</v>
      </c>
      <c r="F54" s="423" t="str">
        <f>VLOOKUP(B54,'пр.взв.'!B5:H182,5,FALSE)</f>
        <v>ХМАО-Югра, Радужный</v>
      </c>
      <c r="G54" s="464"/>
      <c r="H54" s="466"/>
      <c r="I54" s="280"/>
      <c r="J54" s="284"/>
      <c r="K54" s="427">
        <v>19</v>
      </c>
      <c r="L54" s="430">
        <v>8</v>
      </c>
      <c r="M54" s="438" t="str">
        <f>VLOOKUP(L54,'пр.взв.'!B$7:H$134,2,FALSE)</f>
        <v>КУПРАШВИЛИ Родион Автандилович</v>
      </c>
      <c r="N54" s="423" t="str">
        <f>VLOOKUP(L54,'пр.взв.'!B6:H182,3,FALSE)</f>
        <v>07.02.95, МС</v>
      </c>
      <c r="O54" s="423" t="str">
        <f>VLOOKUP(M54,'пр.взв.'!C6:I182,3,FALSE)</f>
        <v>ЮФО</v>
      </c>
      <c r="P54" s="423" t="str">
        <f>VLOOKUP(L54,'пр.взв.'!B5:H182,5,FALSE)</f>
        <v>Краснодарский, Армавир, Д</v>
      </c>
      <c r="Q54" s="464"/>
      <c r="R54" s="466"/>
      <c r="S54" s="280"/>
      <c r="T54" s="284"/>
    </row>
    <row r="55" spans="1:20" ht="12.75" customHeight="1" hidden="1">
      <c r="A55" s="436"/>
      <c r="B55" s="431"/>
      <c r="C55" s="439"/>
      <c r="D55" s="424"/>
      <c r="E55" s="424"/>
      <c r="F55" s="424"/>
      <c r="G55" s="424"/>
      <c r="H55" s="424"/>
      <c r="I55" s="320"/>
      <c r="J55" s="285"/>
      <c r="K55" s="428"/>
      <c r="L55" s="431"/>
      <c r="M55" s="439"/>
      <c r="N55" s="424"/>
      <c r="O55" s="424"/>
      <c r="P55" s="424"/>
      <c r="Q55" s="424"/>
      <c r="R55" s="424"/>
      <c r="S55" s="320"/>
      <c r="T55" s="285"/>
    </row>
    <row r="56" spans="1:20" ht="12.75" customHeight="1" hidden="1">
      <c r="A56" s="436"/>
      <c r="B56" s="417">
        <v>39</v>
      </c>
      <c r="C56" s="425" t="str">
        <f>VLOOKUP(B56,'пр.взв.'!B$7:H$134,2,FALSE)</f>
        <v>ШЕВЦОВ Андрей Андреевич</v>
      </c>
      <c r="D56" s="421" t="str">
        <f>VLOOKUP(B56,'пр.взв.'!B6:H184,3,FALSE)</f>
        <v>24.11.95 мс</v>
      </c>
      <c r="E56" s="421" t="str">
        <f>VLOOKUP(C56,'пр.взв.'!C6:I184,3,FALSE)</f>
        <v>ДВФО</v>
      </c>
      <c r="F56" s="421" t="str">
        <f>VLOOKUP(B56,'пр.взв.'!B52:H184,5,FALSE)</f>
        <v>Приморский, Артем</v>
      </c>
      <c r="G56" s="444"/>
      <c r="H56" s="444"/>
      <c r="I56" s="283"/>
      <c r="J56" s="283"/>
      <c r="K56" s="428"/>
      <c r="L56" s="417">
        <v>40</v>
      </c>
      <c r="M56" s="425" t="str">
        <f>VLOOKUP(L56,'пр.взв.'!B$2:H$136,2,FALSE)</f>
        <v>КУРЖЕВ Али Рамазанович</v>
      </c>
      <c r="N56" s="421" t="str">
        <f>VLOOKUP(L56,'пр.взв.'!B6:H184,3,FALSE)</f>
        <v>28.04.89, МСМК</v>
      </c>
      <c r="O56" s="421" t="str">
        <f>VLOOKUP(M56,'пр.взв.'!C6:I184,3,FALSE)</f>
        <v>ЦФО</v>
      </c>
      <c r="P56" s="421" t="str">
        <f>VLOOKUP(L56,'пр.взв.'!B57:H184,5,FALSE)</f>
        <v>Рязанская, Рязань, Д</v>
      </c>
      <c r="Q56" s="444"/>
      <c r="R56" s="444"/>
      <c r="S56" s="283"/>
      <c r="T56" s="283"/>
    </row>
    <row r="57" spans="1:20" ht="12.75" customHeight="1" hidden="1" thickBot="1">
      <c r="A57" s="437"/>
      <c r="B57" s="418"/>
      <c r="C57" s="426"/>
      <c r="D57" s="422"/>
      <c r="E57" s="422"/>
      <c r="F57" s="422"/>
      <c r="G57" s="445"/>
      <c r="H57" s="445"/>
      <c r="I57" s="434"/>
      <c r="J57" s="434"/>
      <c r="K57" s="429"/>
      <c r="L57" s="418"/>
      <c r="M57" s="426"/>
      <c r="N57" s="422"/>
      <c r="O57" s="422"/>
      <c r="P57" s="422"/>
      <c r="Q57" s="445"/>
      <c r="R57" s="445"/>
      <c r="S57" s="434"/>
      <c r="T57" s="434"/>
    </row>
    <row r="58" spans="1:20" ht="12.75" customHeight="1" hidden="1">
      <c r="A58" s="435">
        <v>14</v>
      </c>
      <c r="B58" s="430">
        <v>23</v>
      </c>
      <c r="C58" s="438" t="str">
        <f>VLOOKUP(B58,'пр.взв.'!B$7:H$134,2,FALSE)</f>
        <v>БУДИМИРОВ Алексей Евгеньевич</v>
      </c>
      <c r="D58" s="441" t="str">
        <f>VLOOKUP(B58,'пр.взв.'!B6:H186,3,FALSE)</f>
        <v>06.03.90 мс</v>
      </c>
      <c r="E58" s="441" t="str">
        <f>VLOOKUP(C58,'пр.взв.'!C6:I186,3,FALSE)</f>
        <v>ПФО</v>
      </c>
      <c r="F58" s="423" t="str">
        <f>VLOOKUP(B58,'пр.взв.'!B6:H186,5,FALSE)</f>
        <v> Пензенская Пенза Д</v>
      </c>
      <c r="G58" s="460"/>
      <c r="H58" s="446"/>
      <c r="I58" s="440"/>
      <c r="J58" s="441"/>
      <c r="K58" s="427">
        <v>30</v>
      </c>
      <c r="L58" s="430">
        <v>24</v>
      </c>
      <c r="M58" s="438" t="str">
        <f>VLOOKUP(L58,'пр.взв.'!B$7:H$134,2,FALSE)</f>
        <v>ХАРИТОНОВ Алексей Александрович</v>
      </c>
      <c r="N58" s="441" t="str">
        <f>VLOOKUP(L58,'пр.взв.'!B6:H186,3,FALSE)</f>
        <v>02.11.78 змс</v>
      </c>
      <c r="O58" s="441" t="str">
        <f>VLOOKUP(M58,'пр.взв.'!C6:I186,3,FALSE)</f>
        <v>ПФО</v>
      </c>
      <c r="P58" s="423" t="str">
        <f>VLOOKUP(L58,'пр.взв.'!B6:H186,5,FALSE)</f>
        <v>Пензенская, Пенза, Д</v>
      </c>
      <c r="Q58" s="460"/>
      <c r="R58" s="446"/>
      <c r="S58" s="440"/>
      <c r="T58" s="441"/>
    </row>
    <row r="59" spans="1:20" ht="12.75" customHeight="1" hidden="1">
      <c r="A59" s="436"/>
      <c r="B59" s="431"/>
      <c r="C59" s="439"/>
      <c r="D59" s="424"/>
      <c r="E59" s="424"/>
      <c r="F59" s="424"/>
      <c r="G59" s="424"/>
      <c r="H59" s="424"/>
      <c r="I59" s="320"/>
      <c r="J59" s="285"/>
      <c r="K59" s="428"/>
      <c r="L59" s="431"/>
      <c r="M59" s="439"/>
      <c r="N59" s="424"/>
      <c r="O59" s="424"/>
      <c r="P59" s="424"/>
      <c r="Q59" s="424"/>
      <c r="R59" s="424"/>
      <c r="S59" s="320"/>
      <c r="T59" s="285"/>
    </row>
    <row r="60" spans="1:20" ht="12.75" customHeight="1" hidden="1">
      <c r="A60" s="436"/>
      <c r="B60" s="417">
        <v>55</v>
      </c>
      <c r="C60" s="425" t="e">
        <f>VLOOKUP(B60,'пр.взв.'!B$7:H$134,2,FALSE)</f>
        <v>#N/A</v>
      </c>
      <c r="D60" s="421" t="e">
        <f>VLOOKUP(B60,'пр.взв.'!B7:H188,3,FALSE)</f>
        <v>#N/A</v>
      </c>
      <c r="E60" s="421" t="e">
        <f>VLOOKUP(C60,'пр.взв.'!C7:I188,3,FALSE)</f>
        <v>#N/A</v>
      </c>
      <c r="F60" s="421" t="e">
        <f>VLOOKUP(B60,'пр.взв.'!B56:H188,5,FALSE)</f>
        <v>#N/A</v>
      </c>
      <c r="G60" s="444"/>
      <c r="H60" s="444"/>
      <c r="I60" s="283"/>
      <c r="J60" s="283"/>
      <c r="K60" s="428"/>
      <c r="L60" s="417">
        <v>56</v>
      </c>
      <c r="M60" s="425" t="e">
        <f>VLOOKUP(L60,'пр.взв.'!B$2:H$136,2,FALSE)</f>
        <v>#N/A</v>
      </c>
      <c r="N60" s="421" t="e">
        <f>VLOOKUP(L60,'пр.взв.'!B7:H188,3,FALSE)</f>
        <v>#N/A</v>
      </c>
      <c r="O60" s="421" t="e">
        <f>VLOOKUP(M60,'пр.взв.'!C7:I188,3,FALSE)</f>
        <v>#N/A</v>
      </c>
      <c r="P60" s="421" t="e">
        <f>VLOOKUP(L60,'пр.взв.'!B61:H188,5,FALSE)</f>
        <v>#N/A</v>
      </c>
      <c r="Q60" s="444"/>
      <c r="R60" s="444"/>
      <c r="S60" s="283"/>
      <c r="T60" s="283"/>
    </row>
    <row r="61" spans="1:20" ht="13.5" customHeight="1" hidden="1" thickBot="1">
      <c r="A61" s="442"/>
      <c r="B61" s="418"/>
      <c r="C61" s="426"/>
      <c r="D61" s="422"/>
      <c r="E61" s="422"/>
      <c r="F61" s="422"/>
      <c r="G61" s="445"/>
      <c r="H61" s="445"/>
      <c r="I61" s="434"/>
      <c r="J61" s="434"/>
      <c r="K61" s="429"/>
      <c r="L61" s="418"/>
      <c r="M61" s="426"/>
      <c r="N61" s="422"/>
      <c r="O61" s="422"/>
      <c r="P61" s="422"/>
      <c r="Q61" s="445"/>
      <c r="R61" s="445"/>
      <c r="S61" s="434"/>
      <c r="T61" s="434"/>
    </row>
    <row r="62" spans="1:20" ht="12.75" customHeight="1" hidden="1">
      <c r="A62" s="435">
        <v>10</v>
      </c>
      <c r="B62" s="430">
        <v>15</v>
      </c>
      <c r="C62" s="438" t="str">
        <f>VLOOKUP(B62,'пр.взв.'!B$7:H$134,2,FALSE)</f>
        <v>КОРОЛЕВ Сергей Владимирович</v>
      </c>
      <c r="D62" s="423">
        <f>VLOOKUP(B62,'пр.взв.'!B7:H190,3,FALSE)</f>
        <v>32198</v>
      </c>
      <c r="E62" s="423" t="str">
        <f>VLOOKUP(C62,'пр.взв.'!C7:I190,3,FALSE)</f>
        <v>ЦФО</v>
      </c>
      <c r="F62" s="423" t="str">
        <f>VLOOKUP(B62,'пр.взв.'!B6:H190,5,FALSE)</f>
        <v>Смоленская, Гагарин</v>
      </c>
      <c r="G62" s="464"/>
      <c r="H62" s="466"/>
      <c r="I62" s="280"/>
      <c r="J62" s="284"/>
      <c r="K62" s="427">
        <v>20</v>
      </c>
      <c r="L62" s="430">
        <v>16</v>
      </c>
      <c r="M62" s="438" t="str">
        <f>VLOOKUP(L62,'пр.взв.'!B$7:H$134,2,FALSE)</f>
        <v>АХМАДОВ Арби Хусейнович</v>
      </c>
      <c r="N62" s="423" t="str">
        <f>VLOOKUP(L62,'пр.взв.'!B7:H190,3,FALSE)</f>
        <v>20.05.89, МС</v>
      </c>
      <c r="O62" s="423" t="str">
        <f>VLOOKUP(M62,'пр.взв.'!C7:I190,3,FALSE)</f>
        <v>СКФО</v>
      </c>
      <c r="P62" s="423" t="str">
        <f>VLOOKUP(L62,'пр.взв.'!B2:H190,5,FALSE)</f>
        <v>Чеченская, МО</v>
      </c>
      <c r="Q62" s="464"/>
      <c r="R62" s="466"/>
      <c r="S62" s="280"/>
      <c r="T62" s="284"/>
    </row>
    <row r="63" spans="1:20" ht="12.75" customHeight="1" hidden="1">
      <c r="A63" s="436"/>
      <c r="B63" s="431"/>
      <c r="C63" s="439"/>
      <c r="D63" s="424"/>
      <c r="E63" s="424"/>
      <c r="F63" s="424"/>
      <c r="G63" s="424"/>
      <c r="H63" s="424"/>
      <c r="I63" s="320"/>
      <c r="J63" s="285"/>
      <c r="K63" s="428"/>
      <c r="L63" s="431"/>
      <c r="M63" s="439"/>
      <c r="N63" s="424"/>
      <c r="O63" s="424"/>
      <c r="P63" s="424"/>
      <c r="Q63" s="424"/>
      <c r="R63" s="424"/>
      <c r="S63" s="320"/>
      <c r="T63" s="285"/>
    </row>
    <row r="64" spans="1:20" ht="12.75" customHeight="1" hidden="1">
      <c r="A64" s="436"/>
      <c r="B64" s="417">
        <v>47</v>
      </c>
      <c r="C64" s="425" t="str">
        <f>VLOOKUP(B64,'пр.взв.'!B$7:H$134,2,FALSE)</f>
        <v>МОТОРКИН Андрей Владимирович</v>
      </c>
      <c r="D64" s="421" t="str">
        <f>VLOOKUP(B64,'пр.взв.'!B7:H192,3,FALSE)</f>
        <v>19.07.80 мсмк</v>
      </c>
      <c r="E64" s="421" t="str">
        <f>VLOOKUP(C64,'пр.взв.'!C7:I192,3,FALSE)</f>
        <v>ЦФО</v>
      </c>
      <c r="F64" s="421" t="str">
        <f>VLOOKUP(B64,'пр.взв.'!B60:H192,5,FALSE)</f>
        <v>Брянская Брянск Д</v>
      </c>
      <c r="G64" s="444"/>
      <c r="H64" s="444"/>
      <c r="I64" s="283"/>
      <c r="J64" s="283"/>
      <c r="K64" s="428"/>
      <c r="L64" s="417">
        <v>48</v>
      </c>
      <c r="M64" s="425" t="str">
        <f>VLOOKUP(L64,'пр.взв.'!B$2:H$136,2,FALSE)</f>
        <v>ПЕРЕПЕЛЮК Андрей Александрович</v>
      </c>
      <c r="N64" s="421" t="str">
        <f>VLOOKUP(L64,'пр.взв.'!B7:H192,3,FALSE)</f>
        <v>06.08.85, МСМК</v>
      </c>
      <c r="O64" s="421" t="str">
        <f>VLOOKUP(M64,'пр.взв.'!C7:I192,3,FALSE)</f>
        <v>МОС</v>
      </c>
      <c r="P64" s="421" t="str">
        <f>VLOOKUP(L64,'пр.взв.'!B65:H192,5,FALSE)</f>
        <v>Москва, Д</v>
      </c>
      <c r="Q64" s="444"/>
      <c r="R64" s="444"/>
      <c r="S64" s="283"/>
      <c r="T64" s="283"/>
    </row>
    <row r="65" spans="1:20" ht="13.5" customHeight="1" hidden="1" thickBot="1">
      <c r="A65" s="437"/>
      <c r="B65" s="418"/>
      <c r="C65" s="426"/>
      <c r="D65" s="422"/>
      <c r="E65" s="422"/>
      <c r="F65" s="422"/>
      <c r="G65" s="445"/>
      <c r="H65" s="445"/>
      <c r="I65" s="434"/>
      <c r="J65" s="434"/>
      <c r="K65" s="429"/>
      <c r="L65" s="418"/>
      <c r="M65" s="426"/>
      <c r="N65" s="422"/>
      <c r="O65" s="422"/>
      <c r="P65" s="422"/>
      <c r="Q65" s="445"/>
      <c r="R65" s="445"/>
      <c r="S65" s="434"/>
      <c r="T65" s="434"/>
    </row>
    <row r="66" spans="1:20" ht="12.75" customHeight="1" hidden="1">
      <c r="A66" s="467">
        <v>16</v>
      </c>
      <c r="B66" s="430">
        <v>31</v>
      </c>
      <c r="C66" s="438" t="str">
        <f>VLOOKUP(B66,'пр.взв.'!B$7:H$134,2,FALSE)</f>
        <v>АЙНУЛЛИН Равиль  Жафярович</v>
      </c>
      <c r="D66" s="423" t="str">
        <f>VLOOKUP(B66,'пр.взв.'!B7:H194,3,FALSE)</f>
        <v>17.06.89, МС</v>
      </c>
      <c r="E66" s="423" t="str">
        <f>VLOOKUP(C66,'пр.взв.'!C7:I194,3,FALSE)</f>
        <v>МОС</v>
      </c>
      <c r="F66" s="423" t="str">
        <f>VLOOKUP(B66,'пр.взв.'!B62:H194,5,FALSE)</f>
        <v>г. Москва, МЧС</v>
      </c>
      <c r="G66" s="424"/>
      <c r="H66" s="465"/>
      <c r="I66" s="320"/>
      <c r="J66" s="421"/>
      <c r="K66" s="427">
        <v>32</v>
      </c>
      <c r="L66" s="430">
        <v>32</v>
      </c>
      <c r="M66" s="438" t="str">
        <f>VLOOKUP(L66,'пр.взв.'!B$7:H$134,2,FALSE)</f>
        <v>НИКУЛИН Иван Дмитриевич</v>
      </c>
      <c r="N66" s="423" t="str">
        <f>VLOOKUP(L66,'пр.взв.'!B7:H194,3,FALSE)</f>
        <v>20.03.93, МС</v>
      </c>
      <c r="O66" s="423" t="str">
        <f>VLOOKUP(M66,'пр.взв.'!C7:I194,3,FALSE)</f>
        <v>УФО</v>
      </c>
      <c r="P66" s="423" t="str">
        <f>VLOOKUP(L66,'пр.взв.'!B67:H194,5,FALSE)</f>
        <v>Свердловская, В.Пышма, Д</v>
      </c>
      <c r="Q66" s="424"/>
      <c r="R66" s="465"/>
      <c r="S66" s="320"/>
      <c r="T66" s="421"/>
    </row>
    <row r="67" spans="1:20" ht="12.75" customHeight="1" hidden="1">
      <c r="A67" s="461"/>
      <c r="B67" s="431"/>
      <c r="C67" s="439"/>
      <c r="D67" s="424"/>
      <c r="E67" s="424"/>
      <c r="F67" s="424"/>
      <c r="G67" s="424"/>
      <c r="H67" s="424"/>
      <c r="I67" s="320"/>
      <c r="J67" s="285"/>
      <c r="K67" s="428"/>
      <c r="L67" s="431"/>
      <c r="M67" s="439"/>
      <c r="N67" s="424"/>
      <c r="O67" s="424"/>
      <c r="P67" s="424"/>
      <c r="Q67" s="424"/>
      <c r="R67" s="424"/>
      <c r="S67" s="320"/>
      <c r="T67" s="285"/>
    </row>
    <row r="68" spans="1:20" ht="12.75" customHeight="1" hidden="1">
      <c r="A68" s="461"/>
      <c r="B68" s="417">
        <v>63</v>
      </c>
      <c r="C68" s="425" t="e">
        <f>VLOOKUP(B68,'пр.взв.'!B$7:H$134,2,FALSE)</f>
        <v>#N/A</v>
      </c>
      <c r="D68" s="421" t="e">
        <f>VLOOKUP(B68,'пр.взв.'!B7:H196,3,FALSE)</f>
        <v>#N/A</v>
      </c>
      <c r="E68" s="421" t="e">
        <f>VLOOKUP(C68,'пр.взв.'!C7:I196,3,FALSE)</f>
        <v>#N/A</v>
      </c>
      <c r="F68" s="423" t="e">
        <f>VLOOKUP(B68,'пр.взв.'!B64:H196,5,FALSE)</f>
        <v>#N/A</v>
      </c>
      <c r="G68" s="444"/>
      <c r="H68" s="444"/>
      <c r="I68" s="283"/>
      <c r="J68" s="283"/>
      <c r="K68" s="428"/>
      <c r="L68" s="417">
        <v>64</v>
      </c>
      <c r="M68" s="425" t="e">
        <f>VLOOKUP(L68,'пр.взв.'!B$2:H$136,2,FALSE)</f>
        <v>#N/A</v>
      </c>
      <c r="N68" s="421" t="e">
        <f>VLOOKUP(L68,'пр.взв.'!B7:H196,3,FALSE)</f>
        <v>#N/A</v>
      </c>
      <c r="O68" s="421" t="e">
        <f>VLOOKUP(M68,'пр.взв.'!C7:I196,3,FALSE)</f>
        <v>#N/A</v>
      </c>
      <c r="P68" s="423" t="e">
        <f>VLOOKUP(L68,'пр.взв.'!B69:H196,5,FALSE)</f>
        <v>#N/A</v>
      </c>
      <c r="Q68" s="444"/>
      <c r="R68" s="444"/>
      <c r="S68" s="283"/>
      <c r="T68" s="283"/>
    </row>
    <row r="69" spans="1:20" ht="12.75" customHeight="1" hidden="1" thickBot="1">
      <c r="A69" s="462"/>
      <c r="B69" s="418"/>
      <c r="C69" s="426"/>
      <c r="D69" s="422"/>
      <c r="E69" s="422"/>
      <c r="F69" s="422"/>
      <c r="G69" s="445"/>
      <c r="H69" s="445"/>
      <c r="I69" s="434"/>
      <c r="J69" s="434"/>
      <c r="K69" s="429"/>
      <c r="L69" s="418"/>
      <c r="M69" s="426"/>
      <c r="N69" s="422"/>
      <c r="O69" s="422"/>
      <c r="P69" s="422"/>
      <c r="Q69" s="445"/>
      <c r="R69" s="445"/>
      <c r="S69" s="434"/>
      <c r="T69" s="434"/>
    </row>
    <row r="70" spans="1:20" ht="12.75" customHeight="1">
      <c r="A70" s="74"/>
      <c r="B70" s="75"/>
      <c r="C70" s="76"/>
      <c r="D70" s="39"/>
      <c r="E70" s="39"/>
      <c r="F70" s="39"/>
      <c r="G70" s="39"/>
      <c r="H70" s="39"/>
      <c r="I70" s="77"/>
      <c r="J70" s="77"/>
      <c r="K70" s="74"/>
      <c r="L70" s="75"/>
      <c r="M70" s="76"/>
      <c r="N70" s="39"/>
      <c r="O70" s="39"/>
      <c r="P70" s="39"/>
      <c r="Q70" s="39"/>
      <c r="R70" s="39"/>
      <c r="S70" s="77"/>
      <c r="T70" s="77"/>
    </row>
    <row r="71" spans="2:20" ht="25.5" customHeight="1" hidden="1" thickBot="1">
      <c r="B71" s="71" t="s">
        <v>39</v>
      </c>
      <c r="C71" s="72" t="s">
        <v>40</v>
      </c>
      <c r="D71" s="73" t="s">
        <v>41</v>
      </c>
      <c r="E71" s="73"/>
      <c r="F71" s="72"/>
      <c r="G71" s="71" t="str">
        <f>B2</f>
        <v>в.к. 82 кг.</v>
      </c>
      <c r="H71" s="72"/>
      <c r="I71" s="72"/>
      <c r="J71" s="72"/>
      <c r="K71" s="72"/>
      <c r="L71" s="71" t="s">
        <v>1</v>
      </c>
      <c r="M71" s="72" t="s">
        <v>40</v>
      </c>
      <c r="N71" s="73" t="s">
        <v>41</v>
      </c>
      <c r="O71" s="73"/>
      <c r="P71" s="72"/>
      <c r="Q71" s="71" t="str">
        <f>G71</f>
        <v>в.к. 82 кг.</v>
      </c>
      <c r="R71" s="72"/>
      <c r="S71" s="72"/>
      <c r="T71" s="72"/>
    </row>
    <row r="72" spans="1:20" ht="25.5" customHeight="1" hidden="1">
      <c r="A72" s="447" t="s">
        <v>42</v>
      </c>
      <c r="B72" s="449" t="s">
        <v>3</v>
      </c>
      <c r="C72" s="451" t="s">
        <v>4</v>
      </c>
      <c r="D72" s="453" t="s">
        <v>13</v>
      </c>
      <c r="E72" s="468" t="s">
        <v>14</v>
      </c>
      <c r="F72" s="469"/>
      <c r="G72" s="451" t="s">
        <v>15</v>
      </c>
      <c r="H72" s="455" t="s">
        <v>43</v>
      </c>
      <c r="I72" s="457" t="s">
        <v>44</v>
      </c>
      <c r="J72" s="458" t="s">
        <v>17</v>
      </c>
      <c r="K72" s="447" t="s">
        <v>42</v>
      </c>
      <c r="L72" s="449" t="s">
        <v>3</v>
      </c>
      <c r="M72" s="451" t="s">
        <v>4</v>
      </c>
      <c r="N72" s="453" t="s">
        <v>13</v>
      </c>
      <c r="O72" s="468" t="s">
        <v>14</v>
      </c>
      <c r="P72" s="469"/>
      <c r="Q72" s="451" t="s">
        <v>15</v>
      </c>
      <c r="R72" s="455" t="s">
        <v>43</v>
      </c>
      <c r="S72" s="457" t="s">
        <v>44</v>
      </c>
      <c r="T72" s="458" t="s">
        <v>17</v>
      </c>
    </row>
    <row r="73" spans="1:20" ht="12.75" customHeight="1" hidden="1" thickBot="1">
      <c r="A73" s="448"/>
      <c r="B73" s="450" t="s">
        <v>45</v>
      </c>
      <c r="C73" s="452"/>
      <c r="D73" s="454"/>
      <c r="E73" s="470"/>
      <c r="F73" s="471"/>
      <c r="G73" s="452"/>
      <c r="H73" s="456"/>
      <c r="I73" s="434"/>
      <c r="J73" s="459" t="s">
        <v>46</v>
      </c>
      <c r="K73" s="448"/>
      <c r="L73" s="450" t="s">
        <v>45</v>
      </c>
      <c r="M73" s="452"/>
      <c r="N73" s="454"/>
      <c r="O73" s="470"/>
      <c r="P73" s="471"/>
      <c r="Q73" s="452"/>
      <c r="R73" s="456"/>
      <c r="S73" s="434"/>
      <c r="T73" s="459" t="s">
        <v>46</v>
      </c>
    </row>
    <row r="74" spans="1:20" ht="13.5" customHeight="1" hidden="1">
      <c r="A74" s="435">
        <v>1</v>
      </c>
      <c r="B74" s="430">
        <f>'пр.хода'!E6</f>
        <v>33</v>
      </c>
      <c r="C74" s="432" t="str">
        <f>VLOOKUP(B74,'пр.взв.'!B$7:H$147,2,FALSE)</f>
        <v>ФЕТИСОВ Алексей Игоревич</v>
      </c>
      <c r="D74" s="423" t="str">
        <f>VLOOKUP(B74,'пр.взв.'!B7:H134,3,FALSE)</f>
        <v>09.04.90 кмс</v>
      </c>
      <c r="E74" s="423" t="str">
        <f>VLOOKUP(C74,'пр.взв.'!C7:I134,3,FALSE)</f>
        <v>ЦФО</v>
      </c>
      <c r="F74" s="423" t="str">
        <f>VLOOKUP(B74,'пр.взв.'!B$7:H$134,5,FALSE)</f>
        <v>Московская, Дмитров</v>
      </c>
      <c r="G74" s="423"/>
      <c r="H74" s="430"/>
      <c r="I74" s="438"/>
      <c r="J74" s="423"/>
      <c r="K74" s="427">
        <v>9</v>
      </c>
      <c r="L74" s="430">
        <f>'пр.хода'!AA6</f>
        <v>34</v>
      </c>
      <c r="M74" s="432" t="str">
        <f>VLOOKUP(L74,'пр.взв.'!B$7:H$134,2,FALSE)</f>
        <v>ПОЖИДАЕВ Егор Николаевич</v>
      </c>
      <c r="N74" s="423" t="str">
        <f>VLOOKUP(L74,'пр.взв.'!B7:H134,3,FALSE)</f>
        <v>18.07.91 кмс</v>
      </c>
      <c r="O74" s="423" t="str">
        <f>VLOOKUP(M74,'пр.взв.'!C7:I134,3,FALSE)</f>
        <v>СЗФО</v>
      </c>
      <c r="P74" s="423" t="str">
        <f>VLOOKUP(L74,'пр.взв.'!B7:H134,5,FALSE)</f>
        <v>Калининградская  Д</v>
      </c>
      <c r="Q74" s="464"/>
      <c r="R74" s="466"/>
      <c r="S74" s="280"/>
      <c r="T74" s="284"/>
    </row>
    <row r="75" spans="1:20" ht="12.75" customHeight="1" hidden="1">
      <c r="A75" s="436"/>
      <c r="B75" s="431"/>
      <c r="C75" s="433"/>
      <c r="D75" s="424"/>
      <c r="E75" s="424"/>
      <c r="F75" s="424"/>
      <c r="G75" s="424"/>
      <c r="H75" s="431"/>
      <c r="I75" s="439"/>
      <c r="J75" s="424"/>
      <c r="K75" s="428"/>
      <c r="L75" s="431"/>
      <c r="M75" s="433"/>
      <c r="N75" s="424"/>
      <c r="O75" s="424"/>
      <c r="P75" s="424"/>
      <c r="Q75" s="424"/>
      <c r="R75" s="424"/>
      <c r="S75" s="320"/>
      <c r="T75" s="285"/>
    </row>
    <row r="76" spans="1:20" ht="12.75" customHeight="1" hidden="1">
      <c r="A76" s="436"/>
      <c r="B76" s="417">
        <f>'пр.хода'!E10</f>
        <v>17</v>
      </c>
      <c r="C76" s="419" t="str">
        <f>VLOOKUP(B76,'пр.взв.'!B$7:H$149,2,FALSE)</f>
        <v>КИРИЛЛОВ Никита Викторович</v>
      </c>
      <c r="D76" s="421" t="str">
        <f>VLOOKUP(B76,'пр.взв.'!B6:H136,3,FALSE)</f>
        <v>07.06.97, КМС</v>
      </c>
      <c r="E76" s="421" t="str">
        <f>VLOOKUP(C76,'пр.взв.'!C6:I136,3,FALSE)</f>
        <v>СФО</v>
      </c>
      <c r="F76" s="423" t="str">
        <f>VLOOKUP(B76,'пр.взв.'!B$7:H$134,5,FALSE)</f>
        <v>Новосибирская, Новосибирск, МО</v>
      </c>
      <c r="G76" s="421"/>
      <c r="H76" s="417"/>
      <c r="I76" s="425"/>
      <c r="J76" s="421"/>
      <c r="K76" s="428"/>
      <c r="L76" s="417">
        <f>'пр.хода'!AA10</f>
        <v>50</v>
      </c>
      <c r="M76" s="419" t="str">
        <f>VLOOKUP(L76,'пр.взв.'!B$7:H$136,2,FALSE)</f>
        <v>ПРИКАЗЧИКОВ Владимир Александрович</v>
      </c>
      <c r="N76" s="421" t="str">
        <f>VLOOKUP(L76,'пр.взв.'!B2:H136,3,FALSE)</f>
        <v>06.11.87, ЗМС</v>
      </c>
      <c r="O76" s="421" t="str">
        <f>VLOOKUP(M76,'пр.взв.'!C2:I136,3,FALSE)</f>
        <v>МОС</v>
      </c>
      <c r="P76" s="421" t="str">
        <f>VLOOKUP(L76,'пр.взв.'!B9:H136,5,FALSE)</f>
        <v>Москва, ВС</v>
      </c>
      <c r="Q76" s="444"/>
      <c r="R76" s="444"/>
      <c r="S76" s="283"/>
      <c r="T76" s="283"/>
    </row>
    <row r="77" spans="1:20" ht="12.75" customHeight="1" hidden="1" thickBot="1">
      <c r="A77" s="437"/>
      <c r="B77" s="418"/>
      <c r="C77" s="420"/>
      <c r="D77" s="422"/>
      <c r="E77" s="422"/>
      <c r="F77" s="424"/>
      <c r="G77" s="422"/>
      <c r="H77" s="418"/>
      <c r="I77" s="426"/>
      <c r="J77" s="422"/>
      <c r="K77" s="429"/>
      <c r="L77" s="418"/>
      <c r="M77" s="420"/>
      <c r="N77" s="422"/>
      <c r="O77" s="422"/>
      <c r="P77" s="422"/>
      <c r="Q77" s="445"/>
      <c r="R77" s="445"/>
      <c r="S77" s="434"/>
      <c r="T77" s="434"/>
    </row>
    <row r="78" spans="1:20" ht="12.75" customHeight="1" hidden="1">
      <c r="A78" s="435">
        <v>2</v>
      </c>
      <c r="B78" s="430">
        <f>'пр.хода'!E14</f>
        <v>41</v>
      </c>
      <c r="C78" s="432" t="str">
        <f>VLOOKUP(B78,'пр.взв.'!B$7:H$147,2,FALSE)</f>
        <v>ЛЕБЕДЕВ Георгий Андреевич</v>
      </c>
      <c r="D78" s="441" t="str">
        <f>VLOOKUP(B78,'пр.взв.'!B1:H138,3,FALSE)</f>
        <v>12.07.91. мсмк</v>
      </c>
      <c r="E78" s="441" t="str">
        <f>VLOOKUP(C78,'пр.взв.'!C1:I138,3,FALSE)</f>
        <v>ПФО</v>
      </c>
      <c r="F78" s="423" t="str">
        <f>VLOOKUP(B78,'пр.взв.'!B$7:H$134,5,FALSE)</f>
        <v>Пензенская, Пенза, Д</v>
      </c>
      <c r="G78" s="441"/>
      <c r="H78" s="430"/>
      <c r="I78" s="443"/>
      <c r="J78" s="441"/>
      <c r="K78" s="427">
        <v>10</v>
      </c>
      <c r="L78" s="430">
        <f>'пр.хода'!AA14</f>
        <v>42</v>
      </c>
      <c r="M78" s="432" t="str">
        <f>VLOOKUP(L78,'пр.взв.'!B$7:H$134,2,FALSE)</f>
        <v>ПАХОМОВ Иван Геннадьевич</v>
      </c>
      <c r="N78" s="441" t="str">
        <f>VLOOKUP(L78,'пр.взв.'!B1:H138,3,FALSE)</f>
        <v>03.10.94, МС</v>
      </c>
      <c r="O78" s="441" t="str">
        <f>VLOOKUP(M78,'пр.взв.'!C1:I138,3,FALSE)</f>
        <v>ЦФО</v>
      </c>
      <c r="P78" s="423" t="str">
        <f>VLOOKUP(L78,'пр.взв.'!B11:H138,5,FALSE)</f>
        <v>Ярославская, Ярославль</v>
      </c>
      <c r="Q78" s="460"/>
      <c r="R78" s="446"/>
      <c r="S78" s="440"/>
      <c r="T78" s="441"/>
    </row>
    <row r="79" spans="1:20" ht="12.75" hidden="1">
      <c r="A79" s="436"/>
      <c r="B79" s="431"/>
      <c r="C79" s="433"/>
      <c r="D79" s="424"/>
      <c r="E79" s="424"/>
      <c r="F79" s="424"/>
      <c r="G79" s="424"/>
      <c r="H79" s="431"/>
      <c r="I79" s="439"/>
      <c r="J79" s="424"/>
      <c r="K79" s="428"/>
      <c r="L79" s="431"/>
      <c r="M79" s="433"/>
      <c r="N79" s="424"/>
      <c r="O79" s="424"/>
      <c r="P79" s="424"/>
      <c r="Q79" s="424"/>
      <c r="R79" s="424"/>
      <c r="S79" s="320"/>
      <c r="T79" s="285"/>
    </row>
    <row r="80" spans="1:20" ht="12.75" customHeight="1" hidden="1">
      <c r="A80" s="436"/>
      <c r="B80" s="417">
        <f>'пр.хода'!E18</f>
        <v>25</v>
      </c>
      <c r="C80" s="419" t="str">
        <f>VLOOKUP(B80,'пр.взв.'!B$7:H$149,2,FALSE)</f>
        <v>КАЗАРЯН Тигран Седракович</v>
      </c>
      <c r="D80" s="421" t="str">
        <f>VLOOKUP(B80,'пр.взв.'!B1:H140,3,FALSE)</f>
        <v>14.02.87 мс</v>
      </c>
      <c r="E80" s="421" t="str">
        <f>VLOOKUP(C80,'пр.взв.'!C1:I140,3,FALSE)</f>
        <v>КФО</v>
      </c>
      <c r="F80" s="423" t="str">
        <f>VLOOKUP(B80,'пр.взв.'!B$7:H$134,5,FALSE)</f>
        <v>Р. Крым, Симферополь</v>
      </c>
      <c r="G80" s="421"/>
      <c r="H80" s="417"/>
      <c r="I80" s="425"/>
      <c r="J80" s="421"/>
      <c r="K80" s="428"/>
      <c r="L80" s="417">
        <f>'пр.хода'!AA18</f>
        <v>26</v>
      </c>
      <c r="M80" s="419" t="str">
        <f>VLOOKUP(L80,'пр.взв.'!B$7:H$136,2,FALSE)</f>
        <v>СУХОГУЗОВ Иван Сергеевич</v>
      </c>
      <c r="N80" s="421" t="str">
        <f>VLOOKUP(L80,'пр.взв.'!B1:H140,3,FALSE)</f>
        <v>19.02.92, МС</v>
      </c>
      <c r="O80" s="421" t="str">
        <f>VLOOKUP(M80,'пр.взв.'!C1:I140,3,FALSE)</f>
        <v>УФО</v>
      </c>
      <c r="P80" s="421" t="str">
        <f>VLOOKUP(L80,'пр.взв.'!B13:H140,5,FALSE)</f>
        <v>Свердловская, В.Пышма, Д</v>
      </c>
      <c r="Q80" s="444"/>
      <c r="R80" s="444"/>
      <c r="S80" s="283"/>
      <c r="T80" s="283"/>
    </row>
    <row r="81" spans="1:20" ht="13.5" hidden="1" thickBot="1">
      <c r="A81" s="437"/>
      <c r="B81" s="418"/>
      <c r="C81" s="420"/>
      <c r="D81" s="422"/>
      <c r="E81" s="422"/>
      <c r="F81" s="424"/>
      <c r="G81" s="422"/>
      <c r="H81" s="418"/>
      <c r="I81" s="426"/>
      <c r="J81" s="422"/>
      <c r="K81" s="429"/>
      <c r="L81" s="418"/>
      <c r="M81" s="420"/>
      <c r="N81" s="422"/>
      <c r="O81" s="422"/>
      <c r="P81" s="422"/>
      <c r="Q81" s="445"/>
      <c r="R81" s="445"/>
      <c r="S81" s="434"/>
      <c r="T81" s="434"/>
    </row>
    <row r="82" spans="1:20" ht="12.75" customHeight="1" hidden="1">
      <c r="A82" s="435">
        <v>3</v>
      </c>
      <c r="B82" s="430">
        <f>'пр.хода'!E22</f>
        <v>5</v>
      </c>
      <c r="C82" s="432" t="str">
        <f>VLOOKUP(B82,'пр.взв.'!B$7:H$147,2,FALSE)</f>
        <v>ХЛОПЕЦКИЙ Владимир Анатольевич</v>
      </c>
      <c r="D82" s="423" t="str">
        <f>VLOOKUP(B82,'пр.взв.'!B1:H142,3,FALSE)</f>
        <v>27.11.87, МС</v>
      </c>
      <c r="E82" s="423" t="str">
        <f>VLOOKUP(C82,'пр.взв.'!C1:I142,3,FALSE)</f>
        <v>МОС</v>
      </c>
      <c r="F82" s="423" t="str">
        <f>VLOOKUP(B82,'пр.взв.'!B$7:H$134,5,FALSE)</f>
        <v>Москва, Д</v>
      </c>
      <c r="G82" s="423"/>
      <c r="H82" s="430"/>
      <c r="I82" s="438"/>
      <c r="J82" s="423"/>
      <c r="K82" s="427">
        <v>11</v>
      </c>
      <c r="L82" s="430">
        <f>'пр.хода'!AA22</f>
        <v>38</v>
      </c>
      <c r="M82" s="432" t="str">
        <f>VLOOKUP(L82,'пр.взв.'!B$7:H$134,2,FALSE)</f>
        <v>ДЕМЬЯНЕНКО Сергей Александрович</v>
      </c>
      <c r="N82" s="423" t="str">
        <f>VLOOKUP(L82,'пр.взв.'!B1:H142,3,FALSE)</f>
        <v>13.02.92, МС</v>
      </c>
      <c r="O82" s="423" t="str">
        <f>VLOOKUP(M82,'пр.взв.'!C1:I142,3,FALSE)</f>
        <v>СФО</v>
      </c>
      <c r="P82" s="423" t="str">
        <f>VLOOKUP(L82,'пр.взв.'!B15:H142,5,FALSE)</f>
        <v>Омская, Омск, МО, СибГУФК</v>
      </c>
      <c r="Q82" s="464"/>
      <c r="R82" s="466"/>
      <c r="S82" s="280"/>
      <c r="T82" s="284"/>
    </row>
    <row r="83" spans="1:20" ht="13.5" customHeight="1" hidden="1">
      <c r="A83" s="436"/>
      <c r="B83" s="431"/>
      <c r="C83" s="433"/>
      <c r="D83" s="424"/>
      <c r="E83" s="424"/>
      <c r="F83" s="424"/>
      <c r="G83" s="424"/>
      <c r="H83" s="431"/>
      <c r="I83" s="439"/>
      <c r="J83" s="424"/>
      <c r="K83" s="428"/>
      <c r="L83" s="431"/>
      <c r="M83" s="433"/>
      <c r="N83" s="424"/>
      <c r="O83" s="424"/>
      <c r="P83" s="424"/>
      <c r="Q83" s="424"/>
      <c r="R83" s="424"/>
      <c r="S83" s="320"/>
      <c r="T83" s="285"/>
    </row>
    <row r="84" spans="1:20" ht="12.75" customHeight="1" hidden="1">
      <c r="A84" s="436"/>
      <c r="B84" s="417">
        <f>'пр.хода'!E26</f>
        <v>21</v>
      </c>
      <c r="C84" s="419" t="str">
        <f>VLOOKUP(B84,'пр.взв.'!B$7:H$149,2,FALSE)</f>
        <v>МАТЕВОСЯН Левон Эдуардович</v>
      </c>
      <c r="D84" s="421" t="str">
        <f>VLOOKUP(B84,'пр.взв.'!B1:H144,3,FALSE)</f>
        <v>30.10.1988 мс</v>
      </c>
      <c r="E84" s="421" t="str">
        <f>VLOOKUP(C84,'пр.взв.'!C1:I144,3,FALSE)</f>
        <v>ЮФО</v>
      </c>
      <c r="F84" s="423" t="str">
        <f>VLOOKUP(B84,'пр.взв.'!B$7:H$134,5,FALSE)</f>
        <v>Краснодарский край Новоросийск, Д</v>
      </c>
      <c r="G84" s="421"/>
      <c r="H84" s="417"/>
      <c r="I84" s="425"/>
      <c r="J84" s="421"/>
      <c r="K84" s="428"/>
      <c r="L84" s="417">
        <f>'пр.хода'!AA26</f>
        <v>22</v>
      </c>
      <c r="M84" s="419" t="str">
        <f>VLOOKUP(L84,'пр.взв.'!B$7:H$136,2,FALSE)</f>
        <v>КОТОВ Максим Сергеевич</v>
      </c>
      <c r="N84" s="421" t="str">
        <f>VLOOKUP(L84,'пр.взв.'!B1:H144,3,FALSE)</f>
        <v>16.08.95, мс</v>
      </c>
      <c r="O84" s="421" t="str">
        <f>VLOOKUP(M84,'пр.взв.'!C1:I144,3,FALSE)</f>
        <v>ПФО</v>
      </c>
      <c r="P84" s="421" t="str">
        <f>VLOOKUP(L84,'пр.взв.'!B17:H144,5,FALSE)</f>
        <v> Пермский, Пермь </v>
      </c>
      <c r="Q84" s="444"/>
      <c r="R84" s="444"/>
      <c r="S84" s="283"/>
      <c r="T84" s="283"/>
    </row>
    <row r="85" spans="1:20" ht="12.75" customHeight="1" hidden="1" thickBot="1">
      <c r="A85" s="437"/>
      <c r="B85" s="418"/>
      <c r="C85" s="420"/>
      <c r="D85" s="422"/>
      <c r="E85" s="422"/>
      <c r="F85" s="424"/>
      <c r="G85" s="422"/>
      <c r="H85" s="418"/>
      <c r="I85" s="426"/>
      <c r="J85" s="422"/>
      <c r="K85" s="429"/>
      <c r="L85" s="418"/>
      <c r="M85" s="420"/>
      <c r="N85" s="422"/>
      <c r="O85" s="422"/>
      <c r="P85" s="422"/>
      <c r="Q85" s="445"/>
      <c r="R85" s="445"/>
      <c r="S85" s="434"/>
      <c r="T85" s="434"/>
    </row>
    <row r="86" spans="1:20" ht="12.75" customHeight="1" hidden="1">
      <c r="A86" s="435">
        <v>4</v>
      </c>
      <c r="B86" s="430">
        <f>'пр.хода'!E30</f>
        <v>13</v>
      </c>
      <c r="C86" s="432" t="str">
        <f>VLOOKUP(B86,'пр.взв.'!B$7:H$147,2,FALSE)</f>
        <v>КОКОВИЧ Илья Игоревич</v>
      </c>
      <c r="D86" s="441" t="str">
        <f>VLOOKUP(B86,'пр.взв.'!B1:H146,3,FALSE)</f>
        <v>15.06.88, МСМК</v>
      </c>
      <c r="E86" s="441" t="str">
        <f>VLOOKUP(C86,'пр.взв.'!C1:I146,3,FALSE)</f>
        <v>МОС</v>
      </c>
      <c r="F86" s="423" t="str">
        <f>VLOOKUP(B86,'пр.взв.'!B$7:H$134,5,FALSE)</f>
        <v>Москва, Д</v>
      </c>
      <c r="G86" s="441"/>
      <c r="H86" s="430"/>
      <c r="I86" s="443"/>
      <c r="J86" s="441"/>
      <c r="K86" s="427">
        <v>12</v>
      </c>
      <c r="L86" s="430">
        <f>'пр.хода'!AA30</f>
        <v>14</v>
      </c>
      <c r="M86" s="432" t="str">
        <f>VLOOKUP(L86,'пр.взв.'!B$7:H$134,2,FALSE)</f>
        <v>МАКСИМОВ Евгений Олегович</v>
      </c>
      <c r="N86" s="441" t="str">
        <f>VLOOKUP(L86,'пр.взв.'!B1:H146,3,FALSE)</f>
        <v>09.06.87, МС</v>
      </c>
      <c r="O86" s="441" t="str">
        <f>VLOOKUP(M86,'пр.взв.'!C1:I146,3,FALSE)</f>
        <v>ЦФО</v>
      </c>
      <c r="P86" s="423" t="str">
        <f>VLOOKUP(L86,'пр.взв.'!B19:H146,5,FALSE)</f>
        <v>Московская, Мытищи</v>
      </c>
      <c r="Q86" s="424"/>
      <c r="R86" s="465"/>
      <c r="S86" s="320"/>
      <c r="T86" s="421"/>
    </row>
    <row r="87" spans="1:20" ht="13.5" customHeight="1" hidden="1">
      <c r="A87" s="436"/>
      <c r="B87" s="431"/>
      <c r="C87" s="433"/>
      <c r="D87" s="424"/>
      <c r="E87" s="424"/>
      <c r="F87" s="424"/>
      <c r="G87" s="424"/>
      <c r="H87" s="431"/>
      <c r="I87" s="439"/>
      <c r="J87" s="424"/>
      <c r="K87" s="428"/>
      <c r="L87" s="431"/>
      <c r="M87" s="433"/>
      <c r="N87" s="424"/>
      <c r="O87" s="424"/>
      <c r="P87" s="424"/>
      <c r="Q87" s="424"/>
      <c r="R87" s="424"/>
      <c r="S87" s="320"/>
      <c r="T87" s="285"/>
    </row>
    <row r="88" spans="1:20" ht="12.75" customHeight="1" hidden="1">
      <c r="A88" s="436"/>
      <c r="B88" s="417">
        <f>'пр.хода'!E34</f>
        <v>29</v>
      </c>
      <c r="C88" s="419" t="str">
        <f>VLOOKUP(B88,'пр.взв.'!B$7:H$149,2,FALSE)</f>
        <v>ГЕРЕКОВ Рустам Магомедрасулович</v>
      </c>
      <c r="D88" s="421" t="str">
        <f>VLOOKUP(B88,'пр.взв.'!B2:H148,3,FALSE)</f>
        <v>25.07.95, МС</v>
      </c>
      <c r="E88" s="421" t="str">
        <f>VLOOKUP(C88,'пр.взв.'!C2:I148,3,FALSE)</f>
        <v>СПБ</v>
      </c>
      <c r="F88" s="423" t="str">
        <f>VLOOKUP(B88,'пр.взв.'!B$7:H$134,5,FALSE)</f>
        <v>С-Петербург, МО</v>
      </c>
      <c r="G88" s="421"/>
      <c r="H88" s="417"/>
      <c r="I88" s="425"/>
      <c r="J88" s="421"/>
      <c r="K88" s="428"/>
      <c r="L88" s="417">
        <f>'пр.хода'!AA34</f>
        <v>30</v>
      </c>
      <c r="M88" s="419" t="str">
        <f>VLOOKUP(L88,'пр.взв.'!B$7:H$136,2,FALSE)</f>
        <v>ЕРМОЛАЕВ Сергей Алексеевич </v>
      </c>
      <c r="N88" s="421" t="str">
        <f>VLOOKUP(L88,'пр.взв.'!B2:H148,3,FALSE)</f>
        <v>14.07.89 мс</v>
      </c>
      <c r="O88" s="421" t="str">
        <f>VLOOKUP(M88,'пр.взв.'!C2:I148,3,FALSE)</f>
        <v>КФО</v>
      </c>
      <c r="P88" s="421" t="str">
        <f>VLOOKUP(L88,'пр.взв.'!B21:H148,5,FALSE)</f>
        <v>Р. Крым, Феодосия</v>
      </c>
      <c r="Q88" s="444"/>
      <c r="R88" s="444"/>
      <c r="S88" s="283"/>
      <c r="T88" s="283"/>
    </row>
    <row r="89" spans="1:20" ht="12.75" customHeight="1" hidden="1" thickBot="1">
      <c r="A89" s="437"/>
      <c r="B89" s="418"/>
      <c r="C89" s="420"/>
      <c r="D89" s="422"/>
      <c r="E89" s="422"/>
      <c r="F89" s="424"/>
      <c r="G89" s="422"/>
      <c r="H89" s="418"/>
      <c r="I89" s="426"/>
      <c r="J89" s="422"/>
      <c r="K89" s="429"/>
      <c r="L89" s="418"/>
      <c r="M89" s="420"/>
      <c r="N89" s="422"/>
      <c r="O89" s="422"/>
      <c r="P89" s="422"/>
      <c r="Q89" s="445"/>
      <c r="R89" s="445"/>
      <c r="S89" s="434"/>
      <c r="T89" s="434"/>
    </row>
    <row r="90" spans="1:20" ht="12.75" customHeight="1" hidden="1">
      <c r="A90" s="436">
        <v>5</v>
      </c>
      <c r="B90" s="430">
        <f>'пр.хода'!E39</f>
        <v>3</v>
      </c>
      <c r="C90" s="432" t="str">
        <f>VLOOKUP(B90,'пр.взв.'!B$7:H$147,2,FALSE)</f>
        <v>ВИНОГРАДОВ Иван Владимирович</v>
      </c>
      <c r="D90" s="423" t="str">
        <f>VLOOKUP(B90,'пр.взв.'!B2:H150,3,FALSE)</f>
        <v>28.02.90, МС</v>
      </c>
      <c r="E90" s="423" t="str">
        <f>VLOOKUP(C90,'пр.взв.'!C2:I150,3,FALSE)</f>
        <v>ЦФО</v>
      </c>
      <c r="F90" s="423" t="str">
        <f>VLOOKUP(B90,'пр.взв.'!B$7:H$134,5,FALSE)</f>
        <v>Ярославская, Ярославль</v>
      </c>
      <c r="G90" s="423"/>
      <c r="H90" s="430"/>
      <c r="I90" s="438"/>
      <c r="J90" s="423"/>
      <c r="K90" s="427">
        <v>13</v>
      </c>
      <c r="L90" s="430">
        <f>'пр.хода'!AA39</f>
        <v>4</v>
      </c>
      <c r="M90" s="432" t="str">
        <f>VLOOKUP(L90,'пр.взв.'!B$7:H$134,2,FALSE)</f>
        <v>ТЫЩЕНКО  Никита Викторович</v>
      </c>
      <c r="N90" s="423" t="str">
        <f>VLOOKUP(L90,'пр.взв.'!B2:H150,3,FALSE)</f>
        <v>13.04.1990, мс</v>
      </c>
      <c r="O90" s="423" t="str">
        <f>VLOOKUP(M90,'пр.взв.'!C2:I150,3,FALSE)</f>
        <v>СЕВ</v>
      </c>
      <c r="P90" s="423" t="str">
        <f>VLOOKUP(L90,'пр.взв.'!B2:H150,5,FALSE)</f>
        <v>Севастополь</v>
      </c>
      <c r="Q90" s="464"/>
      <c r="R90" s="466"/>
      <c r="S90" s="280"/>
      <c r="T90" s="284"/>
    </row>
    <row r="91" spans="1:20" ht="12.75" customHeight="1" hidden="1">
      <c r="A91" s="436"/>
      <c r="B91" s="431"/>
      <c r="C91" s="433"/>
      <c r="D91" s="424"/>
      <c r="E91" s="424"/>
      <c r="F91" s="424"/>
      <c r="G91" s="424"/>
      <c r="H91" s="431"/>
      <c r="I91" s="439"/>
      <c r="J91" s="424"/>
      <c r="K91" s="428"/>
      <c r="L91" s="431"/>
      <c r="M91" s="433"/>
      <c r="N91" s="424"/>
      <c r="O91" s="424"/>
      <c r="P91" s="424"/>
      <c r="Q91" s="424"/>
      <c r="R91" s="424"/>
      <c r="S91" s="320"/>
      <c r="T91" s="285"/>
    </row>
    <row r="92" spans="1:20" ht="12.75" customHeight="1" hidden="1">
      <c r="A92" s="436"/>
      <c r="B92" s="417">
        <f>'пр.хода'!E43</f>
        <v>19</v>
      </c>
      <c r="C92" s="419" t="str">
        <f>VLOOKUP(B92,'пр.взв.'!B$7:H$149,2,FALSE)</f>
        <v>ГАЛСТЯН Самвел Мкртичович</v>
      </c>
      <c r="D92" s="421" t="str">
        <f>VLOOKUP(B92,'пр.взв.'!B2:H152,3,FALSE)</f>
        <v>22.07.93 мс</v>
      </c>
      <c r="E92" s="421" t="str">
        <f>VLOOKUP(C92,'пр.взв.'!C2:I152,3,FALSE)</f>
        <v>ЮФО</v>
      </c>
      <c r="F92" s="423" t="str">
        <f>VLOOKUP(B92,'пр.взв.'!B$7:H$134,5,FALSE)</f>
        <v>Краснодарский, Армавир</v>
      </c>
      <c r="G92" s="421"/>
      <c r="H92" s="417"/>
      <c r="I92" s="425"/>
      <c r="J92" s="421"/>
      <c r="K92" s="428"/>
      <c r="L92" s="417">
        <f>'пр.хода'!AA43</f>
        <v>52</v>
      </c>
      <c r="M92" s="419" t="str">
        <f>VLOOKUP(L92,'пр.взв.'!B$7:H$136,2,FALSE)</f>
        <v>МКРДУМЯН Гагик Гайкович</v>
      </c>
      <c r="N92" s="421" t="str">
        <f>VLOOKUP(L92,'пр.взв.'!B2:H152,3,FALSE)</f>
        <v>05.06.93 мс</v>
      </c>
      <c r="O92" s="421" t="str">
        <f>VLOOKUP(M92,'пр.взв.'!C2:I152,3,FALSE)</f>
        <v>ЮФО</v>
      </c>
      <c r="P92" s="421" t="str">
        <f>VLOOKUP(L92,'пр.взв.'!B25:H152,5,FALSE)</f>
        <v>Краснодарский край Армавир, Д</v>
      </c>
      <c r="Q92" s="444"/>
      <c r="R92" s="444"/>
      <c r="S92" s="283"/>
      <c r="T92" s="283"/>
    </row>
    <row r="93" spans="1:20" ht="12.75" customHeight="1" hidden="1" thickBot="1">
      <c r="A93" s="437"/>
      <c r="B93" s="418"/>
      <c r="C93" s="420"/>
      <c r="D93" s="422"/>
      <c r="E93" s="422"/>
      <c r="F93" s="424"/>
      <c r="G93" s="422"/>
      <c r="H93" s="418"/>
      <c r="I93" s="426"/>
      <c r="J93" s="422"/>
      <c r="K93" s="429"/>
      <c r="L93" s="418"/>
      <c r="M93" s="420"/>
      <c r="N93" s="422"/>
      <c r="O93" s="422"/>
      <c r="P93" s="422"/>
      <c r="Q93" s="445"/>
      <c r="R93" s="445"/>
      <c r="S93" s="434"/>
      <c r="T93" s="434"/>
    </row>
    <row r="94" spans="1:20" ht="12.75" customHeight="1" hidden="1">
      <c r="A94" s="435">
        <v>6</v>
      </c>
      <c r="B94" s="430">
        <f>'пр.хода'!E47</f>
        <v>11</v>
      </c>
      <c r="C94" s="432" t="str">
        <f>VLOOKUP(B94,'пр.взв.'!B$7:H$147,2,FALSE)</f>
        <v>СУХАНОВ Денис Николаевич</v>
      </c>
      <c r="D94" s="441" t="str">
        <f>VLOOKUP(B94,'пр.взв.'!B2:H154,3,FALSE)</f>
        <v>22.03.91 мсмк</v>
      </c>
      <c r="E94" s="441" t="str">
        <f>VLOOKUP(C94,'пр.взв.'!C2:I154,3,FALSE)</f>
        <v>УФО</v>
      </c>
      <c r="F94" s="423" t="str">
        <f>VLOOKUP(B94,'пр.взв.'!B$7:H$134,5,FALSE)</f>
        <v>Курганская Курган</v>
      </c>
      <c r="G94" s="441"/>
      <c r="H94" s="430"/>
      <c r="I94" s="443"/>
      <c r="J94" s="441"/>
      <c r="K94" s="427">
        <v>14</v>
      </c>
      <c r="L94" s="430">
        <f>'пр.хода'!AA47</f>
        <v>44</v>
      </c>
      <c r="M94" s="432" t="str">
        <f>VLOOKUP(L94,'пр.взв.'!B$7:H$134,2,FALSE)</f>
        <v>РЫБИН Дмитрий Сергеевич</v>
      </c>
      <c r="N94" s="441" t="str">
        <f>VLOOKUP(L94,'пр.взв.'!B2:H154,3,FALSE)</f>
        <v>18.08.93 мс</v>
      </c>
      <c r="O94" s="441" t="str">
        <f>VLOOKUP(M94,'пр.взв.'!C2:I154,3,FALSE)</f>
        <v>ЦФО</v>
      </c>
      <c r="P94" s="423" t="str">
        <f>VLOOKUP(L94,'пр.взв.'!B27:H154,5,FALSE)</f>
        <v>Московская, Дмитров</v>
      </c>
      <c r="Q94" s="460"/>
      <c r="R94" s="446"/>
      <c r="S94" s="440"/>
      <c r="T94" s="441"/>
    </row>
    <row r="95" spans="1:20" ht="12.75" customHeight="1" hidden="1">
      <c r="A95" s="436"/>
      <c r="B95" s="431"/>
      <c r="C95" s="433"/>
      <c r="D95" s="424"/>
      <c r="E95" s="424"/>
      <c r="F95" s="424"/>
      <c r="G95" s="424"/>
      <c r="H95" s="431"/>
      <c r="I95" s="439"/>
      <c r="J95" s="424"/>
      <c r="K95" s="428"/>
      <c r="L95" s="431"/>
      <c r="M95" s="433"/>
      <c r="N95" s="424"/>
      <c r="O95" s="424"/>
      <c r="P95" s="424"/>
      <c r="Q95" s="424"/>
      <c r="R95" s="424"/>
      <c r="S95" s="320"/>
      <c r="T95" s="285"/>
    </row>
    <row r="96" spans="1:20" ht="13.5" customHeight="1" hidden="1">
      <c r="A96" s="436"/>
      <c r="B96" s="417">
        <f>'пр.хода'!E51</f>
        <v>27</v>
      </c>
      <c r="C96" s="419" t="str">
        <f>VLOOKUP(B96,'пр.взв.'!B$7:H$149,2,FALSE)</f>
        <v>КИРЮХИН Сергей Александрович</v>
      </c>
      <c r="D96" s="421" t="str">
        <f>VLOOKUP(B96,'пр.взв.'!B2:H156,3,FALSE)</f>
        <v>23.02.87, ЗМС</v>
      </c>
      <c r="E96" s="421" t="str">
        <f>VLOOKUP(C96,'пр.взв.'!C2:I156,3,FALSE)</f>
        <v>СПБ</v>
      </c>
      <c r="F96" s="423" t="str">
        <f>VLOOKUP(B96,'пр.взв.'!B$7:H$134,5,FALSE)</f>
        <v>С-Петербург, ВС</v>
      </c>
      <c r="G96" s="421"/>
      <c r="H96" s="417"/>
      <c r="I96" s="425"/>
      <c r="J96" s="421"/>
      <c r="K96" s="428"/>
      <c r="L96" s="417">
        <f>'пр.хода'!AA51</f>
        <v>28</v>
      </c>
      <c r="M96" s="419" t="str">
        <f>VLOOKUP(L96,'пр.взв.'!B$7:H$136,2,FALSE)</f>
        <v>УЛЬЯХОВ Александр Александрович </v>
      </c>
      <c r="N96" s="421" t="str">
        <f>VLOOKUP(L96,'пр.взв.'!B2:H156,3,FALSE)</f>
        <v>16.07.88 мс</v>
      </c>
      <c r="O96" s="421" t="str">
        <f>VLOOKUP(M96,'пр.взв.'!C2:I156,3,FALSE)</f>
        <v>ЦФО</v>
      </c>
      <c r="P96" s="421" t="str">
        <f>VLOOKUP(L96,'пр.взв.'!B29:H156,5,FALSE)</f>
        <v>Брянская Брянск Д</v>
      </c>
      <c r="Q96" s="444"/>
      <c r="R96" s="444"/>
      <c r="S96" s="283"/>
      <c r="T96" s="283"/>
    </row>
    <row r="97" spans="1:20" ht="12.75" customHeight="1" hidden="1" thickBot="1">
      <c r="A97" s="442"/>
      <c r="B97" s="418"/>
      <c r="C97" s="420"/>
      <c r="D97" s="422"/>
      <c r="E97" s="422"/>
      <c r="F97" s="424"/>
      <c r="G97" s="422"/>
      <c r="H97" s="418"/>
      <c r="I97" s="426"/>
      <c r="J97" s="422"/>
      <c r="K97" s="429"/>
      <c r="L97" s="418"/>
      <c r="M97" s="420"/>
      <c r="N97" s="422"/>
      <c r="O97" s="422"/>
      <c r="P97" s="422"/>
      <c r="Q97" s="445"/>
      <c r="R97" s="445"/>
      <c r="S97" s="434"/>
      <c r="T97" s="434"/>
    </row>
    <row r="98" spans="1:20" ht="12.75" customHeight="1" hidden="1">
      <c r="A98" s="435">
        <v>7</v>
      </c>
      <c r="B98" s="430">
        <f>'пр.хода'!E55</f>
        <v>7</v>
      </c>
      <c r="C98" s="432" t="str">
        <f>VLOOKUP(B98,'пр.взв.'!B$7:H$147,2,FALSE)</f>
        <v>АДАЕВ Исмаил Залимханович</v>
      </c>
      <c r="D98" s="423" t="str">
        <f>VLOOKUP(B98,'пр.взв.'!B4:H158,3,FALSE)</f>
        <v>09.04.94, КМС</v>
      </c>
      <c r="E98" s="423" t="str">
        <f>VLOOKUP(C98,'пр.взв.'!C4:I158,3,FALSE)</f>
        <v>УФО</v>
      </c>
      <c r="F98" s="423" t="str">
        <f>VLOOKUP(B98,'пр.взв.'!B$7:H$134,5,FALSE)</f>
        <v>ХМАО-Югра, Радужный</v>
      </c>
      <c r="G98" s="423"/>
      <c r="H98" s="430"/>
      <c r="I98" s="438"/>
      <c r="J98" s="423"/>
      <c r="K98" s="427">
        <v>15</v>
      </c>
      <c r="L98" s="430">
        <f>'пр.хода'!AA55</f>
        <v>40</v>
      </c>
      <c r="M98" s="432" t="str">
        <f>VLOOKUP(L98,'пр.взв.'!B$7:H$134,2,FALSE)</f>
        <v>КУРЖЕВ Али Рамазанович</v>
      </c>
      <c r="N98" s="423" t="str">
        <f>VLOOKUP(L98,'пр.взв.'!B4:H158,3,FALSE)</f>
        <v>28.04.89, МСМК</v>
      </c>
      <c r="O98" s="423" t="str">
        <f>VLOOKUP(M98,'пр.взв.'!C4:I158,3,FALSE)</f>
        <v>ЦФО</v>
      </c>
      <c r="P98" s="423" t="str">
        <f>VLOOKUP(L98,'пр.взв.'!B31:H158,5,FALSE)</f>
        <v>Рязанская, Рязань, Д</v>
      </c>
      <c r="Q98" s="464"/>
      <c r="R98" s="466"/>
      <c r="S98" s="280"/>
      <c r="T98" s="284"/>
    </row>
    <row r="99" spans="1:20" ht="12.75" customHeight="1" hidden="1">
      <c r="A99" s="436"/>
      <c r="B99" s="431"/>
      <c r="C99" s="433"/>
      <c r="D99" s="424"/>
      <c r="E99" s="424"/>
      <c r="F99" s="424"/>
      <c r="G99" s="424"/>
      <c r="H99" s="431"/>
      <c r="I99" s="439"/>
      <c r="J99" s="424"/>
      <c r="K99" s="428"/>
      <c r="L99" s="431"/>
      <c r="M99" s="433"/>
      <c r="N99" s="424"/>
      <c r="O99" s="424"/>
      <c r="P99" s="424"/>
      <c r="Q99" s="424"/>
      <c r="R99" s="424"/>
      <c r="S99" s="320"/>
      <c r="T99" s="285"/>
    </row>
    <row r="100" spans="1:20" ht="12.75" customHeight="1" hidden="1">
      <c r="A100" s="436"/>
      <c r="B100" s="417">
        <f>'пр.хода'!E59</f>
        <v>23</v>
      </c>
      <c r="C100" s="419" t="str">
        <f>VLOOKUP(B100,'пр.взв.'!B$7:H$149,2,FALSE)</f>
        <v>БУДИМИРОВ Алексей Евгеньевич</v>
      </c>
      <c r="D100" s="421" t="str">
        <f>VLOOKUP(B100,'пр.взв.'!B4:H160,3,FALSE)</f>
        <v>06.03.90 мс</v>
      </c>
      <c r="E100" s="421" t="str">
        <f>VLOOKUP(C100,'пр.взв.'!C4:I160,3,FALSE)</f>
        <v>ПФО</v>
      </c>
      <c r="F100" s="423" t="str">
        <f>VLOOKUP(B100,'пр.взв.'!B$7:H$134,5,FALSE)</f>
        <v> Пензенская Пенза Д</v>
      </c>
      <c r="G100" s="421"/>
      <c r="H100" s="417"/>
      <c r="I100" s="425"/>
      <c r="J100" s="421"/>
      <c r="K100" s="428"/>
      <c r="L100" s="417">
        <f>'пр.хода'!AA59</f>
        <v>24</v>
      </c>
      <c r="M100" s="419" t="str">
        <f>VLOOKUP(L100,'пр.взв.'!B$7:H$136,2,FALSE)</f>
        <v>ХАРИТОНОВ Алексей Александрович</v>
      </c>
      <c r="N100" s="421" t="str">
        <f>VLOOKUP(L100,'пр.взв.'!B4:H160,3,FALSE)</f>
        <v>02.11.78 змс</v>
      </c>
      <c r="O100" s="421" t="str">
        <f>VLOOKUP(M100,'пр.взв.'!C4:I160,3,FALSE)</f>
        <v>ПФО</v>
      </c>
      <c r="P100" s="421" t="str">
        <f>VLOOKUP(L100,'пр.взв.'!B33:H160,5,FALSE)</f>
        <v>Пензенская, Пенза, Д</v>
      </c>
      <c r="Q100" s="444"/>
      <c r="R100" s="444"/>
      <c r="S100" s="283"/>
      <c r="T100" s="283"/>
    </row>
    <row r="101" spans="1:20" ht="13.5" hidden="1" thickBot="1">
      <c r="A101" s="437"/>
      <c r="B101" s="418"/>
      <c r="C101" s="420"/>
      <c r="D101" s="422"/>
      <c r="E101" s="422"/>
      <c r="F101" s="424"/>
      <c r="G101" s="422"/>
      <c r="H101" s="418"/>
      <c r="I101" s="426"/>
      <c r="J101" s="422"/>
      <c r="K101" s="429"/>
      <c r="L101" s="418"/>
      <c r="M101" s="420"/>
      <c r="N101" s="422"/>
      <c r="O101" s="422"/>
      <c r="P101" s="422"/>
      <c r="Q101" s="445"/>
      <c r="R101" s="445"/>
      <c r="S101" s="434"/>
      <c r="T101" s="434"/>
    </row>
    <row r="102" spans="1:20" ht="12.75" customHeight="1" hidden="1">
      <c r="A102" s="435">
        <v>8</v>
      </c>
      <c r="B102" s="430">
        <f>'пр.хода'!E63</f>
        <v>47</v>
      </c>
      <c r="C102" s="432" t="str">
        <f>VLOOKUP(B102,'пр.взв.'!B$7:H$147,2,FALSE)</f>
        <v>МОТОРКИН Андрей Владимирович</v>
      </c>
      <c r="D102" s="423" t="str">
        <f>VLOOKUP(B102,'пр.взв.'!B4:H162,3,FALSE)</f>
        <v>19.07.80 мсмк</v>
      </c>
      <c r="E102" s="423" t="str">
        <f>VLOOKUP(C102,'пр.взв.'!C4:I162,3,FALSE)</f>
        <v>ЦФО</v>
      </c>
      <c r="F102" s="423" t="str">
        <f>VLOOKUP(B102,'пр.взв.'!B$7:H$134,5,FALSE)</f>
        <v>Брянская Брянск Д</v>
      </c>
      <c r="G102" s="423"/>
      <c r="H102" s="430"/>
      <c r="I102" s="438"/>
      <c r="J102" s="423"/>
      <c r="K102" s="427">
        <v>16</v>
      </c>
      <c r="L102" s="430">
        <f>'пр.хода'!AA63</f>
        <v>48</v>
      </c>
      <c r="M102" s="432" t="str">
        <f>VLOOKUP(L102,'пр.взв.'!B$7:H$134,2,FALSE)</f>
        <v>ПЕРЕПЕЛЮК Андрей Александрович</v>
      </c>
      <c r="N102" s="423" t="str">
        <f>VLOOKUP(L102,'пр.взв.'!B4:H162,3,FALSE)</f>
        <v>06.08.85, МСМК</v>
      </c>
      <c r="O102" s="423" t="str">
        <f>VLOOKUP(M102,'пр.взв.'!C4:I162,3,FALSE)</f>
        <v>МОС</v>
      </c>
      <c r="P102" s="423" t="str">
        <f>VLOOKUP(L102,'пр.взв.'!B35:H162,5,FALSE)</f>
        <v>Москва, Д</v>
      </c>
      <c r="Q102" s="424"/>
      <c r="R102" s="465"/>
      <c r="S102" s="320"/>
      <c r="T102" s="421"/>
    </row>
    <row r="103" spans="1:20" ht="12.75" customHeight="1" hidden="1">
      <c r="A103" s="436"/>
      <c r="B103" s="431"/>
      <c r="C103" s="433"/>
      <c r="D103" s="424"/>
      <c r="E103" s="424"/>
      <c r="F103" s="424"/>
      <c r="G103" s="424"/>
      <c r="H103" s="431"/>
      <c r="I103" s="439"/>
      <c r="J103" s="424"/>
      <c r="K103" s="428"/>
      <c r="L103" s="431"/>
      <c r="M103" s="433"/>
      <c r="N103" s="424"/>
      <c r="O103" s="424"/>
      <c r="P103" s="424"/>
      <c r="Q103" s="424"/>
      <c r="R103" s="424"/>
      <c r="S103" s="320"/>
      <c r="T103" s="285"/>
    </row>
    <row r="104" spans="1:20" ht="12.75" customHeight="1" hidden="1">
      <c r="A104" s="436"/>
      <c r="B104" s="417">
        <f>'пр.хода'!E67</f>
        <v>31</v>
      </c>
      <c r="C104" s="419" t="str">
        <f>VLOOKUP(B104,'пр.взв.'!B$7:H$149,2,FALSE)</f>
        <v>АЙНУЛЛИН Равиль  Жафярович</v>
      </c>
      <c r="D104" s="421" t="str">
        <f>VLOOKUP(B104,'пр.взв.'!B4:H164,3,FALSE)</f>
        <v>17.06.89, МС</v>
      </c>
      <c r="E104" s="421" t="str">
        <f>VLOOKUP(C104,'пр.взв.'!C4:I164,3,FALSE)</f>
        <v>МОС</v>
      </c>
      <c r="F104" s="423" t="str">
        <f>VLOOKUP(B104,'пр.взв.'!B$7:H$134,5,FALSE)</f>
        <v>г. Москва, МЧС</v>
      </c>
      <c r="G104" s="421"/>
      <c r="H104" s="417"/>
      <c r="I104" s="425"/>
      <c r="J104" s="421"/>
      <c r="K104" s="428"/>
      <c r="L104" s="417">
        <f>'пр.хода'!AA67</f>
        <v>32</v>
      </c>
      <c r="M104" s="419" t="str">
        <f>VLOOKUP(L104,'пр.взв.'!B$7:H$136,2,FALSE)</f>
        <v>НИКУЛИН Иван Дмитриевич</v>
      </c>
      <c r="N104" s="421" t="str">
        <f>VLOOKUP(L104,'пр.взв.'!B4:H164,3,FALSE)</f>
        <v>20.03.93, МС</v>
      </c>
      <c r="O104" s="421" t="str">
        <f>VLOOKUP(M104,'пр.взв.'!C4:I164,3,FALSE)</f>
        <v>УФО</v>
      </c>
      <c r="P104" s="423" t="str">
        <f>VLOOKUP(L104,'пр.взв.'!B37:H164,5,FALSE)</f>
        <v>Свердловская, В.Пышма, Д</v>
      </c>
      <c r="Q104" s="444"/>
      <c r="R104" s="444"/>
      <c r="S104" s="283"/>
      <c r="T104" s="283"/>
    </row>
    <row r="105" spans="1:20" ht="12.75" customHeight="1" hidden="1" thickBot="1">
      <c r="A105" s="437"/>
      <c r="B105" s="418"/>
      <c r="C105" s="420"/>
      <c r="D105" s="422"/>
      <c r="E105" s="422"/>
      <c r="F105" s="424"/>
      <c r="G105" s="422"/>
      <c r="H105" s="418"/>
      <c r="I105" s="426"/>
      <c r="J105" s="422"/>
      <c r="K105" s="429"/>
      <c r="L105" s="418"/>
      <c r="M105" s="420"/>
      <c r="N105" s="422"/>
      <c r="O105" s="422"/>
      <c r="P105" s="422"/>
      <c r="Q105" s="445"/>
      <c r="R105" s="445"/>
      <c r="S105" s="434"/>
      <c r="T105" s="434"/>
    </row>
    <row r="107" spans="2:20" ht="16.5" hidden="1" thickBot="1">
      <c r="B107" s="71" t="s">
        <v>39</v>
      </c>
      <c r="C107" s="72" t="s">
        <v>40</v>
      </c>
      <c r="D107" s="73" t="s">
        <v>48</v>
      </c>
      <c r="E107" s="73"/>
      <c r="F107" s="72"/>
      <c r="G107" s="71" t="str">
        <f>B2</f>
        <v>в.к. 82 кг.</v>
      </c>
      <c r="H107" s="72"/>
      <c r="I107" s="72"/>
      <c r="J107" s="72"/>
      <c r="K107" s="72"/>
      <c r="L107" s="71" t="s">
        <v>1</v>
      </c>
      <c r="M107" s="72" t="s">
        <v>40</v>
      </c>
      <c r="N107" s="73" t="s">
        <v>48</v>
      </c>
      <c r="O107" s="73"/>
      <c r="P107" s="72"/>
      <c r="Q107" s="71" t="str">
        <f>G107</f>
        <v>в.к. 82 кг.</v>
      </c>
      <c r="R107" s="72"/>
      <c r="S107" s="72"/>
      <c r="T107" s="72"/>
    </row>
    <row r="108" spans="1:20" ht="12.75" customHeight="1" hidden="1">
      <c r="A108" s="447" t="s">
        <v>42</v>
      </c>
      <c r="B108" s="449" t="s">
        <v>3</v>
      </c>
      <c r="C108" s="451" t="s">
        <v>4</v>
      </c>
      <c r="D108" s="453" t="s">
        <v>13</v>
      </c>
      <c r="E108" s="468" t="s">
        <v>14</v>
      </c>
      <c r="F108" s="469"/>
      <c r="G108" s="451" t="s">
        <v>15</v>
      </c>
      <c r="H108" s="455" t="s">
        <v>43</v>
      </c>
      <c r="I108" s="457" t="s">
        <v>44</v>
      </c>
      <c r="J108" s="458" t="s">
        <v>17</v>
      </c>
      <c r="K108" s="447" t="s">
        <v>42</v>
      </c>
      <c r="L108" s="449" t="s">
        <v>3</v>
      </c>
      <c r="M108" s="451" t="s">
        <v>4</v>
      </c>
      <c r="N108" s="453" t="s">
        <v>13</v>
      </c>
      <c r="O108" s="468" t="s">
        <v>14</v>
      </c>
      <c r="P108" s="469"/>
      <c r="Q108" s="451" t="s">
        <v>15</v>
      </c>
      <c r="R108" s="455" t="s">
        <v>43</v>
      </c>
      <c r="S108" s="457" t="s">
        <v>44</v>
      </c>
      <c r="T108" s="458" t="s">
        <v>17</v>
      </c>
    </row>
    <row r="109" spans="1:20" ht="13.5" customHeight="1" hidden="1" thickBot="1">
      <c r="A109" s="448"/>
      <c r="B109" s="450" t="s">
        <v>45</v>
      </c>
      <c r="C109" s="452"/>
      <c r="D109" s="454"/>
      <c r="E109" s="470"/>
      <c r="F109" s="471"/>
      <c r="G109" s="452"/>
      <c r="H109" s="456"/>
      <c r="I109" s="434"/>
      <c r="J109" s="459" t="s">
        <v>46</v>
      </c>
      <c r="K109" s="448"/>
      <c r="L109" s="450" t="s">
        <v>45</v>
      </c>
      <c r="M109" s="452"/>
      <c r="N109" s="454"/>
      <c r="O109" s="470"/>
      <c r="P109" s="471"/>
      <c r="Q109" s="452"/>
      <c r="R109" s="456"/>
      <c r="S109" s="434"/>
      <c r="T109" s="459" t="s">
        <v>46</v>
      </c>
    </row>
    <row r="110" spans="1:20" ht="12.75" hidden="1">
      <c r="A110" s="435">
        <v>1</v>
      </c>
      <c r="B110" s="474">
        <f>'пр.хода'!G8</f>
        <v>33</v>
      </c>
      <c r="C110" s="432" t="str">
        <f>VLOOKUP(B110,'пр.взв.'!B$2:H$183,2,FALSE)</f>
        <v>ФЕТИСОВ Алексей Игоревич</v>
      </c>
      <c r="D110" s="423" t="str">
        <f>VLOOKUP(B110,'пр.взв.'!B2:H170,3,FALSE)</f>
        <v>09.04.90 кмс</v>
      </c>
      <c r="E110" s="423" t="str">
        <f>VLOOKUP(C110,'пр.взв.'!C2:I170,3,FALSE)</f>
        <v>ЦФО</v>
      </c>
      <c r="F110" s="423" t="str">
        <f>VLOOKUP(B110,'пр.взв.'!B2:H170,5,FALSE)</f>
        <v>Московская, Дмитров</v>
      </c>
      <c r="G110" s="464"/>
      <c r="H110" s="466"/>
      <c r="I110" s="280"/>
      <c r="J110" s="284"/>
      <c r="K110" s="427">
        <v>5</v>
      </c>
      <c r="L110" s="474">
        <f>'пр.хода'!Y8</f>
        <v>50</v>
      </c>
      <c r="M110" s="432" t="str">
        <f>VLOOKUP(L110,'пр.взв.'!B$2:H$170,2,FALSE)</f>
        <v>ПРИКАЗЧИКОВ Владимир Александрович</v>
      </c>
      <c r="N110" s="423" t="str">
        <f>VLOOKUP(L110,'пр.взв.'!B2:H170,3,FALSE)</f>
        <v>06.11.87, ЗМС</v>
      </c>
      <c r="O110" s="423" t="str">
        <f>VLOOKUP(M110,'пр.взв.'!C2:I170,3,FALSE)</f>
        <v>МОС</v>
      </c>
      <c r="P110" s="423" t="str">
        <f>VLOOKUP(L110,'пр.взв.'!B2:H170,5,FALSE)</f>
        <v>Москва, ВС</v>
      </c>
      <c r="Q110" s="464"/>
      <c r="R110" s="466"/>
      <c r="S110" s="280"/>
      <c r="T110" s="284"/>
    </row>
    <row r="111" spans="1:20" ht="12.75" hidden="1">
      <c r="A111" s="436"/>
      <c r="B111" s="475"/>
      <c r="C111" s="433"/>
      <c r="D111" s="424"/>
      <c r="E111" s="424"/>
      <c r="F111" s="424"/>
      <c r="G111" s="424"/>
      <c r="H111" s="424"/>
      <c r="I111" s="320"/>
      <c r="J111" s="285"/>
      <c r="K111" s="428"/>
      <c r="L111" s="475"/>
      <c r="M111" s="433"/>
      <c r="N111" s="424"/>
      <c r="O111" s="424"/>
      <c r="P111" s="424"/>
      <c r="Q111" s="424"/>
      <c r="R111" s="424"/>
      <c r="S111" s="320"/>
      <c r="T111" s="285"/>
    </row>
    <row r="112" spans="1:20" ht="12.75" hidden="1">
      <c r="A112" s="436"/>
      <c r="B112" s="475">
        <f>'пр.хода'!G16</f>
        <v>41</v>
      </c>
      <c r="C112" s="419" t="str">
        <f>VLOOKUP(B112,'пр.взв.'!B$7:H$685,2,FALSE)</f>
        <v>ЛЕБЕДЕВ Георгий Андреевич</v>
      </c>
      <c r="D112" s="421" t="str">
        <f>VLOOKUP(B112,'пр.взв.'!B1:H172,3,FALSE)</f>
        <v>12.07.91. мсмк</v>
      </c>
      <c r="E112" s="421" t="str">
        <f>VLOOKUP(C112,'пр.взв.'!C1:I172,3,FALSE)</f>
        <v>ПФО</v>
      </c>
      <c r="F112" s="421" t="str">
        <f>VLOOKUP(B112,'пр.взв.'!B5:H172,5,FALSE)</f>
        <v>Пензенская, Пенза, Д</v>
      </c>
      <c r="G112" s="444"/>
      <c r="H112" s="444"/>
      <c r="I112" s="283"/>
      <c r="J112" s="283"/>
      <c r="K112" s="428"/>
      <c r="L112" s="475">
        <f>'пр.хода'!Y16</f>
        <v>26</v>
      </c>
      <c r="M112" s="419" t="str">
        <f>VLOOKUP(L112,'пр.взв.'!B$4:H$172,2,FALSE)</f>
        <v>СУХОГУЗОВ Иван Сергеевич</v>
      </c>
      <c r="N112" s="421" t="str">
        <f>VLOOKUP(L112,'пр.взв.'!B4:H172,3,FALSE)</f>
        <v>19.02.92, МС</v>
      </c>
      <c r="O112" s="421" t="str">
        <f>VLOOKUP(M112,'пр.взв.'!C4:I172,3,FALSE)</f>
        <v>УФО</v>
      </c>
      <c r="P112" s="421" t="str">
        <f>VLOOKUP(L112,'пр.взв.'!B5:H172,5,FALSE)</f>
        <v>Свердловская, В.Пышма, Д</v>
      </c>
      <c r="Q112" s="444"/>
      <c r="R112" s="444"/>
      <c r="S112" s="283"/>
      <c r="T112" s="283"/>
    </row>
    <row r="113" spans="1:20" ht="13.5" hidden="1" thickBot="1">
      <c r="A113" s="437"/>
      <c r="B113" s="476"/>
      <c r="C113" s="420"/>
      <c r="D113" s="422"/>
      <c r="E113" s="422"/>
      <c r="F113" s="422"/>
      <c r="G113" s="445"/>
      <c r="H113" s="445"/>
      <c r="I113" s="434"/>
      <c r="J113" s="434"/>
      <c r="K113" s="429"/>
      <c r="L113" s="476"/>
      <c r="M113" s="420"/>
      <c r="N113" s="422"/>
      <c r="O113" s="422"/>
      <c r="P113" s="422"/>
      <c r="Q113" s="445"/>
      <c r="R113" s="445"/>
      <c r="S113" s="434"/>
      <c r="T113" s="434"/>
    </row>
    <row r="114" spans="1:20" ht="12.75" customHeight="1" hidden="1">
      <c r="A114" s="435">
        <v>2</v>
      </c>
      <c r="B114" s="474">
        <f>'пр.хода'!G24</f>
        <v>21</v>
      </c>
      <c r="C114" s="432" t="str">
        <f>VLOOKUP(B114,'пр.взв.'!B$2:H$183,2,FALSE)</f>
        <v>МАТЕВОСЯН Левон Эдуардович</v>
      </c>
      <c r="D114" s="423" t="str">
        <f>VLOOKUP(B114,'пр.взв.'!B7:H174,3,FALSE)</f>
        <v>30.10.1988 мс</v>
      </c>
      <c r="E114" s="423" t="str">
        <f>VLOOKUP(C114,'пр.взв.'!C7:I174,3,FALSE)</f>
        <v>ЮФО</v>
      </c>
      <c r="F114" s="423" t="str">
        <f>VLOOKUP(B114,'пр.взв.'!B7:H174,5,FALSE)</f>
        <v>Краснодарский край Новоросийск, Д</v>
      </c>
      <c r="G114" s="460"/>
      <c r="H114" s="446"/>
      <c r="I114" s="440"/>
      <c r="J114" s="441"/>
      <c r="K114" s="427">
        <v>6</v>
      </c>
      <c r="L114" s="474">
        <f>'пр.хода'!Y24</f>
        <v>38</v>
      </c>
      <c r="M114" s="432" t="str">
        <f>VLOOKUP(L114,'пр.взв.'!B$2:H$170,2,FALSE)</f>
        <v>ДЕМЬЯНЕНКО Сергей Александрович</v>
      </c>
      <c r="N114" s="423" t="str">
        <f>VLOOKUP(L114,'пр.взв.'!B7:H174,3,FALSE)</f>
        <v>13.02.92, МС</v>
      </c>
      <c r="O114" s="423" t="str">
        <f>VLOOKUP(M114,'пр.взв.'!C7:I174,3,FALSE)</f>
        <v>СФО</v>
      </c>
      <c r="P114" s="423" t="str">
        <f>VLOOKUP(L114,'пр.взв.'!B7:H174,5,FALSE)</f>
        <v>Омская, Омск, МО, СибГУФК</v>
      </c>
      <c r="Q114" s="460"/>
      <c r="R114" s="446"/>
      <c r="S114" s="440"/>
      <c r="T114" s="441"/>
    </row>
    <row r="115" spans="1:20" ht="12.75" hidden="1">
      <c r="A115" s="436"/>
      <c r="B115" s="475"/>
      <c r="C115" s="433"/>
      <c r="D115" s="424"/>
      <c r="E115" s="424"/>
      <c r="F115" s="424"/>
      <c r="G115" s="424"/>
      <c r="H115" s="424"/>
      <c r="I115" s="320"/>
      <c r="J115" s="285"/>
      <c r="K115" s="428"/>
      <c r="L115" s="475"/>
      <c r="M115" s="433"/>
      <c r="N115" s="424"/>
      <c r="O115" s="424"/>
      <c r="P115" s="424"/>
      <c r="Q115" s="424"/>
      <c r="R115" s="424"/>
      <c r="S115" s="320"/>
      <c r="T115" s="285"/>
    </row>
    <row r="116" spans="1:20" ht="12.75" customHeight="1" hidden="1">
      <c r="A116" s="436"/>
      <c r="B116" s="475">
        <f>'пр.хода'!G32</f>
        <v>13</v>
      </c>
      <c r="C116" s="419" t="str">
        <f>VLOOKUP(B116,'пр.взв.'!B$7:H$685,2,FALSE)</f>
        <v>КОКОВИЧ Илья Игоревич</v>
      </c>
      <c r="D116" s="421" t="str">
        <f>VLOOKUP(B116,'пр.взв.'!B6:H176,3,FALSE)</f>
        <v>15.06.88, МСМК</v>
      </c>
      <c r="E116" s="421" t="str">
        <f>VLOOKUP(C116,'пр.взв.'!C6:I176,3,FALSE)</f>
        <v>МОС</v>
      </c>
      <c r="F116" s="421" t="str">
        <f>VLOOKUP(B116,'пр.взв.'!B9:H176,5,FALSE)</f>
        <v>Москва, Д</v>
      </c>
      <c r="G116" s="444"/>
      <c r="H116" s="444"/>
      <c r="I116" s="283"/>
      <c r="J116" s="283"/>
      <c r="K116" s="428"/>
      <c r="L116" s="475">
        <f>'пр.хода'!Y32</f>
        <v>14</v>
      </c>
      <c r="M116" s="419" t="str">
        <f>VLOOKUP(L116,'пр.взв.'!B$4:H$172,2,FALSE)</f>
        <v>МАКСИМОВ Евгений Олегович</v>
      </c>
      <c r="N116" s="421" t="str">
        <f>VLOOKUP(L116,'пр.взв.'!B1:H176,3,FALSE)</f>
        <v>09.06.87, МС</v>
      </c>
      <c r="O116" s="421" t="str">
        <f>VLOOKUP(M116,'пр.взв.'!C1:I176,3,FALSE)</f>
        <v>ЦФО</v>
      </c>
      <c r="P116" s="421" t="str">
        <f>VLOOKUP(L116,'пр.взв.'!B9:H176,5,FALSE)</f>
        <v>Московская, Мытищи</v>
      </c>
      <c r="Q116" s="444"/>
      <c r="R116" s="444"/>
      <c r="S116" s="283"/>
      <c r="T116" s="283"/>
    </row>
    <row r="117" spans="1:20" ht="13.5" hidden="1" thickBot="1">
      <c r="A117" s="437"/>
      <c r="B117" s="476"/>
      <c r="C117" s="420"/>
      <c r="D117" s="422"/>
      <c r="E117" s="422"/>
      <c r="F117" s="422"/>
      <c r="G117" s="445"/>
      <c r="H117" s="445"/>
      <c r="I117" s="434"/>
      <c r="J117" s="434"/>
      <c r="K117" s="429"/>
      <c r="L117" s="476"/>
      <c r="M117" s="420"/>
      <c r="N117" s="422"/>
      <c r="O117" s="422"/>
      <c r="P117" s="422"/>
      <c r="Q117" s="445"/>
      <c r="R117" s="445"/>
      <c r="S117" s="434"/>
      <c r="T117" s="434"/>
    </row>
    <row r="118" spans="1:20" ht="12.75" customHeight="1" hidden="1">
      <c r="A118" s="435">
        <v>3</v>
      </c>
      <c r="B118" s="474">
        <f>'пр.хода'!G41</f>
        <v>19</v>
      </c>
      <c r="C118" s="432" t="str">
        <f>VLOOKUP(B118,'пр.взв.'!B$2:H$183,2,FALSE)</f>
        <v>ГАЛСТЯН Самвел Мкртичович</v>
      </c>
      <c r="D118" s="423" t="str">
        <f>VLOOKUP(B118,'пр.взв.'!B1:H178,3,FALSE)</f>
        <v>22.07.93 мс</v>
      </c>
      <c r="E118" s="423" t="str">
        <f>VLOOKUP(C118,'пр.взв.'!C1:I178,3,FALSE)</f>
        <v>ЮФО</v>
      </c>
      <c r="F118" s="423" t="str">
        <f>VLOOKUP(B118,'пр.взв.'!B11:H178,5,FALSE)</f>
        <v>Краснодарский, Армавир</v>
      </c>
      <c r="G118" s="464"/>
      <c r="H118" s="466"/>
      <c r="I118" s="280"/>
      <c r="J118" s="284"/>
      <c r="K118" s="427">
        <v>7</v>
      </c>
      <c r="L118" s="474">
        <f>'пр.хода'!Y41</f>
        <v>4</v>
      </c>
      <c r="M118" s="432" t="str">
        <f>VLOOKUP(L118,'пр.взв.'!B$2:H$170,2,FALSE)</f>
        <v>ТЫЩЕНКО  Никита Викторович</v>
      </c>
      <c r="N118" s="423" t="str">
        <f>VLOOKUP(L118,'пр.взв.'!B1:H178,3,FALSE)</f>
        <v>13.04.1990, мс</v>
      </c>
      <c r="O118" s="423" t="str">
        <f>VLOOKUP(M118,'пр.взв.'!C1:I178,3,FALSE)</f>
        <v>СЕВ</v>
      </c>
      <c r="P118" s="423" t="str">
        <f>VLOOKUP(L118,'пр.взв.'!B11:H178,5,FALSE)</f>
        <v>Севастополь</v>
      </c>
      <c r="Q118" s="464"/>
      <c r="R118" s="466"/>
      <c r="S118" s="280"/>
      <c r="T118" s="284"/>
    </row>
    <row r="119" spans="1:20" ht="12.75" hidden="1">
      <c r="A119" s="436"/>
      <c r="B119" s="475"/>
      <c r="C119" s="433"/>
      <c r="D119" s="424"/>
      <c r="E119" s="424"/>
      <c r="F119" s="424"/>
      <c r="G119" s="424"/>
      <c r="H119" s="424"/>
      <c r="I119" s="320"/>
      <c r="J119" s="285"/>
      <c r="K119" s="428"/>
      <c r="L119" s="475"/>
      <c r="M119" s="433"/>
      <c r="N119" s="424"/>
      <c r="O119" s="424"/>
      <c r="P119" s="424"/>
      <c r="Q119" s="424"/>
      <c r="R119" s="424"/>
      <c r="S119" s="320"/>
      <c r="T119" s="285"/>
    </row>
    <row r="120" spans="1:20" ht="12.75" customHeight="1" hidden="1">
      <c r="A120" s="436"/>
      <c r="B120" s="475">
        <f>'пр.хода'!G49</f>
        <v>27</v>
      </c>
      <c r="C120" s="419" t="str">
        <f>VLOOKUP(B120,'пр.взв.'!B$7:H$685,2,FALSE)</f>
        <v>КИРЮХИН Сергей Александрович</v>
      </c>
      <c r="D120" s="421" t="str">
        <f>VLOOKUP(B120,'пр.взв.'!B1:H180,3,FALSE)</f>
        <v>23.02.87, ЗМС</v>
      </c>
      <c r="E120" s="421" t="str">
        <f>VLOOKUP(C120,'пр.взв.'!C1:I180,3,FALSE)</f>
        <v>СПБ</v>
      </c>
      <c r="F120" s="421" t="str">
        <f>VLOOKUP(B120,'пр.взв.'!B13:H180,5,FALSE)</f>
        <v>С-Петербург, ВС</v>
      </c>
      <c r="G120" s="444"/>
      <c r="H120" s="444"/>
      <c r="I120" s="283"/>
      <c r="J120" s="283"/>
      <c r="K120" s="428"/>
      <c r="L120" s="475">
        <f>'пр.хода'!Y49</f>
        <v>28</v>
      </c>
      <c r="M120" s="419" t="str">
        <f>VLOOKUP(L120,'пр.взв.'!B$4:H$172,2,FALSE)</f>
        <v>УЛЬЯХОВ Александр Александрович </v>
      </c>
      <c r="N120" s="421" t="str">
        <f>VLOOKUP(L120,'пр.взв.'!B1:H180,3,FALSE)</f>
        <v>16.07.88 мс</v>
      </c>
      <c r="O120" s="421" t="str">
        <f>VLOOKUP(M120,'пр.взв.'!C1:I180,3,FALSE)</f>
        <v>ЦФО</v>
      </c>
      <c r="P120" s="421" t="str">
        <f>VLOOKUP(L120,'пр.взв.'!B13:H180,5,FALSE)</f>
        <v>Брянская Брянск Д</v>
      </c>
      <c r="Q120" s="444"/>
      <c r="R120" s="444"/>
      <c r="S120" s="283"/>
      <c r="T120" s="283"/>
    </row>
    <row r="121" spans="1:20" ht="13.5" hidden="1" thickBot="1">
      <c r="A121" s="437"/>
      <c r="B121" s="476"/>
      <c r="C121" s="420"/>
      <c r="D121" s="422"/>
      <c r="E121" s="422"/>
      <c r="F121" s="422"/>
      <c r="G121" s="445"/>
      <c r="H121" s="445"/>
      <c r="I121" s="434"/>
      <c r="J121" s="434"/>
      <c r="K121" s="429"/>
      <c r="L121" s="476"/>
      <c r="M121" s="420"/>
      <c r="N121" s="422"/>
      <c r="O121" s="422"/>
      <c r="P121" s="422"/>
      <c r="Q121" s="445"/>
      <c r="R121" s="445"/>
      <c r="S121" s="434"/>
      <c r="T121" s="434"/>
    </row>
    <row r="122" spans="1:20" ht="12.75" customHeight="1" hidden="1">
      <c r="A122" s="435">
        <v>4</v>
      </c>
      <c r="B122" s="474">
        <f>'пр.хода'!G57</f>
        <v>23</v>
      </c>
      <c r="C122" s="432" t="str">
        <f>VLOOKUP(B122,'пр.взв.'!B$2:H$183,2,FALSE)</f>
        <v>БУДИМИРОВ Алексей Евгеньевич</v>
      </c>
      <c r="D122" s="441" t="str">
        <f>VLOOKUP(B122,'пр.взв.'!B15:H182,3,FALSE)</f>
        <v>06.03.90 мс</v>
      </c>
      <c r="E122" s="441" t="str">
        <f>VLOOKUP(C122,'пр.взв.'!C15:I182,3,FALSE)</f>
        <v>ПФО</v>
      </c>
      <c r="F122" s="441" t="str">
        <f>VLOOKUP(B122,'пр.взв.'!B15:H182,5,FALSE)</f>
        <v> Пензенская Пенза Д</v>
      </c>
      <c r="G122" s="460"/>
      <c r="H122" s="446"/>
      <c r="I122" s="440"/>
      <c r="J122" s="441"/>
      <c r="K122" s="427">
        <v>8</v>
      </c>
      <c r="L122" s="474">
        <f>'пр.хода'!Y57</f>
        <v>40</v>
      </c>
      <c r="M122" s="432" t="str">
        <f>VLOOKUP(L122,'пр.взв.'!B$2:H$170,2,FALSE)</f>
        <v>КУРЖЕВ Али Рамазанович</v>
      </c>
      <c r="N122" s="441" t="str">
        <f>VLOOKUP(L122,'пр.взв.'!B1:H182,3,FALSE)</f>
        <v>28.04.89, МСМК</v>
      </c>
      <c r="O122" s="441" t="str">
        <f>VLOOKUP(M122,'пр.взв.'!C1:I182,3,FALSE)</f>
        <v>ЦФО</v>
      </c>
      <c r="P122" s="441" t="str">
        <f>VLOOKUP(L122,'пр.взв.'!B15:H182,5,FALSE)</f>
        <v>Рязанская, Рязань, Д</v>
      </c>
      <c r="Q122" s="460"/>
      <c r="R122" s="446"/>
      <c r="S122" s="440"/>
      <c r="T122" s="441"/>
    </row>
    <row r="123" spans="1:20" ht="12.75" hidden="1">
      <c r="A123" s="436"/>
      <c r="B123" s="475"/>
      <c r="C123" s="433"/>
      <c r="D123" s="424"/>
      <c r="E123" s="424"/>
      <c r="F123" s="424"/>
      <c r="G123" s="424"/>
      <c r="H123" s="424"/>
      <c r="I123" s="320"/>
      <c r="J123" s="285"/>
      <c r="K123" s="428"/>
      <c r="L123" s="475"/>
      <c r="M123" s="433"/>
      <c r="N123" s="424"/>
      <c r="O123" s="424"/>
      <c r="P123" s="424"/>
      <c r="Q123" s="424"/>
      <c r="R123" s="424"/>
      <c r="S123" s="320"/>
      <c r="T123" s="285"/>
    </row>
    <row r="124" spans="1:20" ht="12.75" customHeight="1" hidden="1">
      <c r="A124" s="436"/>
      <c r="B124" s="475">
        <f>'пр.хода'!G65</f>
        <v>47</v>
      </c>
      <c r="C124" s="419" t="str">
        <f>VLOOKUP(B124,'пр.взв.'!B$7:H$685,2,FALSE)</f>
        <v>МОТОРКИН Андрей Владимирович</v>
      </c>
      <c r="D124" s="421" t="str">
        <f>VLOOKUP(B124,'пр.взв.'!B1:H184,3,FALSE)</f>
        <v>19.07.80 мсмк</v>
      </c>
      <c r="E124" s="421" t="str">
        <f>VLOOKUP(C124,'пр.взв.'!C1:I184,3,FALSE)</f>
        <v>ЦФО</v>
      </c>
      <c r="F124" s="423" t="str">
        <f>VLOOKUP(B124,'пр.взв.'!B17:H184,5,FALSE)</f>
        <v>Брянская Брянск Д</v>
      </c>
      <c r="G124" s="444"/>
      <c r="H124" s="444"/>
      <c r="I124" s="283"/>
      <c r="J124" s="283"/>
      <c r="K124" s="428"/>
      <c r="L124" s="475">
        <f>'пр.хода'!Y65</f>
        <v>48</v>
      </c>
      <c r="M124" s="419" t="str">
        <f>VLOOKUP(L124,'пр.взв.'!B$4:H$172,2,FALSE)</f>
        <v>ПЕРЕПЕЛЮК Андрей Александрович</v>
      </c>
      <c r="N124" s="421" t="str">
        <f>VLOOKUP(L124,'пр.взв.'!B1:H184,3,FALSE)</f>
        <v>06.08.85, МСМК</v>
      </c>
      <c r="O124" s="421" t="str">
        <f>VLOOKUP(M124,'пр.взв.'!C1:I184,3,FALSE)</f>
        <v>МОС</v>
      </c>
      <c r="P124" s="423" t="str">
        <f>VLOOKUP(L124,'пр.взв.'!B17:H184,5,FALSE)</f>
        <v>Москва, Д</v>
      </c>
      <c r="Q124" s="444"/>
      <c r="R124" s="444"/>
      <c r="S124" s="283"/>
      <c r="T124" s="283"/>
    </row>
    <row r="125" spans="1:20" ht="13.5" hidden="1" thickBot="1">
      <c r="A125" s="437"/>
      <c r="B125" s="476"/>
      <c r="C125" s="420"/>
      <c r="D125" s="422"/>
      <c r="E125" s="422"/>
      <c r="F125" s="422"/>
      <c r="G125" s="445"/>
      <c r="H125" s="445"/>
      <c r="I125" s="434"/>
      <c r="J125" s="434"/>
      <c r="K125" s="429"/>
      <c r="L125" s="476"/>
      <c r="M125" s="420"/>
      <c r="N125" s="422"/>
      <c r="O125" s="422"/>
      <c r="P125" s="422"/>
      <c r="Q125" s="445"/>
      <c r="R125" s="445"/>
      <c r="S125" s="434"/>
      <c r="T125" s="434"/>
    </row>
    <row r="127" spans="2:20" ht="16.5" thickBot="1">
      <c r="B127" s="71" t="s">
        <v>39</v>
      </c>
      <c r="C127" s="72" t="s">
        <v>40</v>
      </c>
      <c r="D127" s="73" t="s">
        <v>49</v>
      </c>
      <c r="E127" s="73"/>
      <c r="F127" s="72"/>
      <c r="G127" s="71" t="str">
        <f>G107</f>
        <v>в.к. 82 кг.</v>
      </c>
      <c r="H127" s="72"/>
      <c r="I127" s="72"/>
      <c r="J127" s="72"/>
      <c r="K127" s="72"/>
      <c r="L127" s="71" t="s">
        <v>50</v>
      </c>
      <c r="M127" s="72" t="s">
        <v>40</v>
      </c>
      <c r="N127" s="73" t="s">
        <v>49</v>
      </c>
      <c r="O127" s="73"/>
      <c r="P127" s="72"/>
      <c r="Q127" s="71" t="str">
        <f>G127</f>
        <v>в.к. 82 кг.</v>
      </c>
      <c r="R127" s="72"/>
      <c r="S127" s="72"/>
      <c r="T127" s="72"/>
    </row>
    <row r="128" spans="1:20" ht="12.75" customHeight="1">
      <c r="A128" s="447" t="s">
        <v>42</v>
      </c>
      <c r="B128" s="449" t="s">
        <v>3</v>
      </c>
      <c r="C128" s="451" t="s">
        <v>4</v>
      </c>
      <c r="D128" s="453" t="s">
        <v>13</v>
      </c>
      <c r="E128" s="468" t="s">
        <v>14</v>
      </c>
      <c r="F128" s="469"/>
      <c r="G128" s="451" t="s">
        <v>15</v>
      </c>
      <c r="H128" s="455" t="s">
        <v>43</v>
      </c>
      <c r="I128" s="457" t="s">
        <v>44</v>
      </c>
      <c r="J128" s="458" t="s">
        <v>17</v>
      </c>
      <c r="K128" s="447" t="s">
        <v>42</v>
      </c>
      <c r="L128" s="449" t="s">
        <v>3</v>
      </c>
      <c r="M128" s="451" t="s">
        <v>4</v>
      </c>
      <c r="N128" s="453" t="s">
        <v>13</v>
      </c>
      <c r="O128" s="468" t="s">
        <v>14</v>
      </c>
      <c r="P128" s="469"/>
      <c r="Q128" s="451" t="s">
        <v>15</v>
      </c>
      <c r="R128" s="455" t="s">
        <v>43</v>
      </c>
      <c r="S128" s="457" t="s">
        <v>44</v>
      </c>
      <c r="T128" s="458" t="s">
        <v>17</v>
      </c>
    </row>
    <row r="129" spans="1:20" ht="13.5" customHeight="1" thickBot="1">
      <c r="A129" s="448"/>
      <c r="B129" s="477" t="s">
        <v>45</v>
      </c>
      <c r="C129" s="452"/>
      <c r="D129" s="454"/>
      <c r="E129" s="470"/>
      <c r="F129" s="471"/>
      <c r="G129" s="452"/>
      <c r="H129" s="456"/>
      <c r="I129" s="434"/>
      <c r="J129" s="459" t="s">
        <v>46</v>
      </c>
      <c r="K129" s="448"/>
      <c r="L129" s="477" t="s">
        <v>45</v>
      </c>
      <c r="M129" s="452"/>
      <c r="N129" s="454"/>
      <c r="O129" s="470"/>
      <c r="P129" s="471"/>
      <c r="Q129" s="452"/>
      <c r="R129" s="456"/>
      <c r="S129" s="434"/>
      <c r="T129" s="459" t="s">
        <v>46</v>
      </c>
    </row>
    <row r="130" spans="1:20" ht="12.75">
      <c r="A130" s="435">
        <v>1</v>
      </c>
      <c r="B130" s="474">
        <f>'пр.хода'!I12</f>
        <v>41</v>
      </c>
      <c r="C130" s="432" t="str">
        <f>VLOOKUP(B130,'пр.взв.'!B$2:H$143,2,FALSE)</f>
        <v>ЛЕБЕДЕВ Георгий Андреевич</v>
      </c>
      <c r="D130" s="423" t="str">
        <f>VLOOKUP(B130,'пр.взв.'!B2:H190,3,FALSE)</f>
        <v>12.07.91. мсмк</v>
      </c>
      <c r="E130" s="423" t="str">
        <f>VLOOKUP(C130,'пр.взв.'!C2:I190,3,FALSE)</f>
        <v>ПФО</v>
      </c>
      <c r="F130" s="423" t="str">
        <f>VLOOKUP(B130,'пр.взв.'!B2:H190,5,FALSE)</f>
        <v>Пензенская, Пенза, Д</v>
      </c>
      <c r="G130" s="460"/>
      <c r="H130" s="446"/>
      <c r="I130" s="440"/>
      <c r="J130" s="453"/>
      <c r="K130" s="427">
        <v>3</v>
      </c>
      <c r="L130" s="474">
        <f>'пр.хода'!W12</f>
        <v>26</v>
      </c>
      <c r="M130" s="432" t="str">
        <f>VLOOKUP(L130,'пр.взв.'!B$2:H$190,2,FALSE)</f>
        <v>СУХОГУЗОВ Иван Сергеевич</v>
      </c>
      <c r="N130" s="423" t="str">
        <f>VLOOKUP(L130,'пр.взв.'!B2:H190,3,FALSE)</f>
        <v>19.02.92, МС</v>
      </c>
      <c r="O130" s="423" t="str">
        <f>VLOOKUP(M130,'пр.взв.'!C2:I190,3,FALSE)</f>
        <v>УФО</v>
      </c>
      <c r="P130" s="423" t="str">
        <f>VLOOKUP(L130,'пр.взв.'!B2:H190,5,FALSE)</f>
        <v>Свердловская, В.Пышма, Д</v>
      </c>
      <c r="Q130" s="460"/>
      <c r="R130" s="446"/>
      <c r="S130" s="440"/>
      <c r="T130" s="453"/>
    </row>
    <row r="131" spans="1:20" ht="12.75">
      <c r="A131" s="436"/>
      <c r="B131" s="475"/>
      <c r="C131" s="433"/>
      <c r="D131" s="424"/>
      <c r="E131" s="424"/>
      <c r="F131" s="424"/>
      <c r="G131" s="424"/>
      <c r="H131" s="424"/>
      <c r="I131" s="320"/>
      <c r="J131" s="285"/>
      <c r="K131" s="428"/>
      <c r="L131" s="475"/>
      <c r="M131" s="433"/>
      <c r="N131" s="424"/>
      <c r="O131" s="424"/>
      <c r="P131" s="424"/>
      <c r="Q131" s="424"/>
      <c r="R131" s="424"/>
      <c r="S131" s="320"/>
      <c r="T131" s="285"/>
    </row>
    <row r="132" spans="1:20" ht="12.75">
      <c r="A132" s="436"/>
      <c r="B132" s="475">
        <f>'пр.хода'!I28</f>
        <v>13</v>
      </c>
      <c r="C132" s="419" t="str">
        <f>VLOOKUP(B132,'пр.взв.'!B$2:H$145,2,FALSE)</f>
        <v>КОКОВИЧ Илья Игоревич</v>
      </c>
      <c r="D132" s="421" t="str">
        <f>VLOOKUP(B132,'пр.взв.'!B2:H192,3,FALSE)</f>
        <v>15.06.88, МСМК</v>
      </c>
      <c r="E132" s="421" t="str">
        <f>VLOOKUP(C132,'пр.взв.'!C2:I192,3,FALSE)</f>
        <v>МОС</v>
      </c>
      <c r="F132" s="421" t="str">
        <f>VLOOKUP(B132,'пр.взв.'!B5:H192,5,FALSE)</f>
        <v>Москва, Д</v>
      </c>
      <c r="G132" s="444"/>
      <c r="H132" s="444"/>
      <c r="I132" s="283"/>
      <c r="J132" s="283"/>
      <c r="K132" s="428"/>
      <c r="L132" s="475">
        <f>'пр.хода'!W28</f>
        <v>14</v>
      </c>
      <c r="M132" s="419" t="str">
        <f>VLOOKUP(L132,'пр.взв.'!B$2:H$192,2,FALSE)</f>
        <v>МАКСИМОВ Евгений Олегович</v>
      </c>
      <c r="N132" s="421" t="str">
        <f>VLOOKUP(L132,'пр.взв.'!B2:H192,3,FALSE)</f>
        <v>09.06.87, МС</v>
      </c>
      <c r="O132" s="421" t="str">
        <f>VLOOKUP(M132,'пр.взв.'!C2:I192,3,FALSE)</f>
        <v>ЦФО</v>
      </c>
      <c r="P132" s="421" t="str">
        <f>VLOOKUP(L132,'пр.взв.'!B5:H192,5,FALSE)</f>
        <v>Московская, Мытищи</v>
      </c>
      <c r="Q132" s="444"/>
      <c r="R132" s="444"/>
      <c r="S132" s="283"/>
      <c r="T132" s="283"/>
    </row>
    <row r="133" spans="1:20" ht="13.5" thickBot="1">
      <c r="A133" s="437"/>
      <c r="B133" s="476"/>
      <c r="C133" s="420"/>
      <c r="D133" s="422"/>
      <c r="E133" s="422"/>
      <c r="F133" s="422"/>
      <c r="G133" s="445"/>
      <c r="H133" s="445"/>
      <c r="I133" s="434"/>
      <c r="J133" s="434"/>
      <c r="K133" s="429"/>
      <c r="L133" s="476"/>
      <c r="M133" s="420"/>
      <c r="N133" s="422"/>
      <c r="O133" s="422"/>
      <c r="P133" s="422"/>
      <c r="Q133" s="445"/>
      <c r="R133" s="445"/>
      <c r="S133" s="434"/>
      <c r="T133" s="434"/>
    </row>
    <row r="134" spans="1:20" ht="12.75" customHeight="1">
      <c r="A134" s="435">
        <v>2</v>
      </c>
      <c r="B134" s="474">
        <f>'пр.хода'!I46</f>
        <v>27</v>
      </c>
      <c r="C134" s="432" t="str">
        <f>VLOOKUP(B134,'пр.взв.'!B$2:H$143,2,FALSE)</f>
        <v>КИРЮХИН Сергей Александрович</v>
      </c>
      <c r="D134" s="441" t="str">
        <f>VLOOKUP(B134,'пр.взв.'!B2:H194,3,FALSE)</f>
        <v>23.02.87, ЗМС</v>
      </c>
      <c r="E134" s="441" t="str">
        <f>VLOOKUP(C134,'пр.взв.'!C2:I194,3,FALSE)</f>
        <v>СПБ</v>
      </c>
      <c r="F134" s="423" t="str">
        <f>VLOOKUP(B134,'пр.взв.'!B7:H194,5,FALSE)</f>
        <v>С-Петербург, ВС</v>
      </c>
      <c r="G134" s="460"/>
      <c r="H134" s="446"/>
      <c r="I134" s="440"/>
      <c r="J134" s="441"/>
      <c r="K134" s="427">
        <v>4</v>
      </c>
      <c r="L134" s="474">
        <f>'пр.хода'!W45</f>
        <v>28</v>
      </c>
      <c r="M134" s="432" t="str">
        <f>VLOOKUP(L134,'пр.взв.'!B$2:H$190,2,FALSE)</f>
        <v>УЛЬЯХОВ Александр Александрович </v>
      </c>
      <c r="N134" s="441" t="str">
        <f>VLOOKUP(L134,'пр.взв.'!B2:H194,3,FALSE)</f>
        <v>16.07.88 мс</v>
      </c>
      <c r="O134" s="441" t="str">
        <f>VLOOKUP(M134,'пр.взв.'!C2:I194,3,FALSE)</f>
        <v>ЦФО</v>
      </c>
      <c r="P134" s="423" t="str">
        <f>VLOOKUP(L134,'пр.взв.'!B7:H194,5,FALSE)</f>
        <v>Брянская Брянск Д</v>
      </c>
      <c r="Q134" s="460"/>
      <c r="R134" s="446"/>
      <c r="S134" s="440"/>
      <c r="T134" s="441"/>
    </row>
    <row r="135" spans="1:20" ht="12.75">
      <c r="A135" s="436"/>
      <c r="B135" s="475"/>
      <c r="C135" s="433"/>
      <c r="D135" s="424"/>
      <c r="E135" s="424"/>
      <c r="F135" s="424"/>
      <c r="G135" s="424"/>
      <c r="H135" s="424"/>
      <c r="I135" s="320"/>
      <c r="J135" s="285"/>
      <c r="K135" s="428"/>
      <c r="L135" s="475"/>
      <c r="M135" s="433"/>
      <c r="N135" s="424"/>
      <c r="O135" s="424"/>
      <c r="P135" s="424"/>
      <c r="Q135" s="424"/>
      <c r="R135" s="424"/>
      <c r="S135" s="320"/>
      <c r="T135" s="285"/>
    </row>
    <row r="136" spans="1:20" ht="12.75" customHeight="1">
      <c r="A136" s="436"/>
      <c r="B136" s="475">
        <f>'пр.хода'!I61</f>
        <v>47</v>
      </c>
      <c r="C136" s="419" t="str">
        <f>VLOOKUP(B136,'пр.взв.'!B$2:H$145,2,FALSE)</f>
        <v>МОТОРКИН Андрей Владимирович</v>
      </c>
      <c r="D136" s="421" t="str">
        <f>VLOOKUP(B136,'пр.взв.'!B2:H196,3,FALSE)</f>
        <v>19.07.80 мсмк</v>
      </c>
      <c r="E136" s="421" t="str">
        <f>VLOOKUP(C136,'пр.взв.'!C2:I196,3,FALSE)</f>
        <v>ЦФО</v>
      </c>
      <c r="F136" s="423" t="str">
        <f>VLOOKUP(B136,'пр.взв.'!B9:H196,5,FALSE)</f>
        <v>Брянская Брянск Д</v>
      </c>
      <c r="G136" s="444"/>
      <c r="H136" s="444"/>
      <c r="I136" s="283"/>
      <c r="J136" s="283"/>
      <c r="K136" s="428"/>
      <c r="L136" s="475">
        <f>'пр.хода'!W61</f>
        <v>48</v>
      </c>
      <c r="M136" s="419" t="str">
        <f>VLOOKUP(L136,'пр.взв.'!B$2:H$192,2,FALSE)</f>
        <v>ПЕРЕПЕЛЮК Андрей Александрович</v>
      </c>
      <c r="N136" s="421" t="str">
        <f>VLOOKUP(L136,'пр.взв.'!B2:H196,3,FALSE)</f>
        <v>06.08.85, МСМК</v>
      </c>
      <c r="O136" s="421" t="str">
        <f>VLOOKUP(M136,'пр.взв.'!C2:I196,3,FALSE)</f>
        <v>МОС</v>
      </c>
      <c r="P136" s="423" t="str">
        <f>VLOOKUP(L136,'пр.взв.'!B9:H196,5,FALSE)</f>
        <v>Москва, Д</v>
      </c>
      <c r="Q136" s="444"/>
      <c r="R136" s="444"/>
      <c r="S136" s="283"/>
      <c r="T136" s="283"/>
    </row>
    <row r="137" spans="1:20" ht="13.5" thickBot="1">
      <c r="A137" s="437"/>
      <c r="B137" s="476"/>
      <c r="C137" s="420"/>
      <c r="D137" s="422"/>
      <c r="E137" s="422"/>
      <c r="F137" s="422"/>
      <c r="G137" s="445"/>
      <c r="H137" s="445"/>
      <c r="I137" s="434"/>
      <c r="J137" s="434"/>
      <c r="K137" s="429"/>
      <c r="L137" s="476"/>
      <c r="M137" s="420"/>
      <c r="N137" s="422"/>
      <c r="O137" s="422"/>
      <c r="P137" s="422"/>
      <c r="Q137" s="445"/>
      <c r="R137" s="445"/>
      <c r="S137" s="434"/>
      <c r="T137" s="434"/>
    </row>
    <row r="139" spans="2:20" ht="16.5" thickBot="1">
      <c r="B139" s="71" t="s">
        <v>39</v>
      </c>
      <c r="C139" s="106" t="s">
        <v>51</v>
      </c>
      <c r="D139" s="92"/>
      <c r="E139" s="92"/>
      <c r="F139" s="92"/>
      <c r="G139" s="97" t="str">
        <f>G127</f>
        <v>в.к. 82 кг.</v>
      </c>
      <c r="H139" s="92"/>
      <c r="I139" s="92"/>
      <c r="J139" s="92"/>
      <c r="K139" s="93"/>
      <c r="L139" s="71" t="s">
        <v>1</v>
      </c>
      <c r="M139" s="106" t="s">
        <v>51</v>
      </c>
      <c r="N139" s="92"/>
      <c r="O139" s="92"/>
      <c r="P139" s="92"/>
      <c r="Q139" s="71" t="str">
        <f>G139</f>
        <v>в.к. 82 кг.</v>
      </c>
      <c r="R139" s="92"/>
      <c r="S139" s="92"/>
      <c r="T139" s="92"/>
    </row>
    <row r="140" spans="1:20" ht="12.75" customHeight="1">
      <c r="A140" s="447" t="s">
        <v>42</v>
      </c>
      <c r="B140" s="449" t="s">
        <v>3</v>
      </c>
      <c r="C140" s="451" t="s">
        <v>4</v>
      </c>
      <c r="D140" s="453" t="s">
        <v>13</v>
      </c>
      <c r="E140" s="468" t="s">
        <v>14</v>
      </c>
      <c r="F140" s="469"/>
      <c r="G140" s="451" t="s">
        <v>15</v>
      </c>
      <c r="H140" s="455" t="s">
        <v>43</v>
      </c>
      <c r="I140" s="457" t="s">
        <v>44</v>
      </c>
      <c r="J140" s="458" t="s">
        <v>17</v>
      </c>
      <c r="K140" s="447" t="s">
        <v>42</v>
      </c>
      <c r="L140" s="449" t="s">
        <v>3</v>
      </c>
      <c r="M140" s="451" t="s">
        <v>4</v>
      </c>
      <c r="N140" s="453" t="s">
        <v>13</v>
      </c>
      <c r="O140" s="468" t="s">
        <v>14</v>
      </c>
      <c r="P140" s="469"/>
      <c r="Q140" s="451" t="s">
        <v>15</v>
      </c>
      <c r="R140" s="455" t="s">
        <v>43</v>
      </c>
      <c r="S140" s="457" t="s">
        <v>44</v>
      </c>
      <c r="T140" s="458" t="s">
        <v>17</v>
      </c>
    </row>
    <row r="141" spans="1:20" ht="13.5" customHeight="1" thickBot="1">
      <c r="A141" s="448"/>
      <c r="B141" s="477" t="s">
        <v>45</v>
      </c>
      <c r="C141" s="452"/>
      <c r="D141" s="454"/>
      <c r="E141" s="470"/>
      <c r="F141" s="471"/>
      <c r="G141" s="452"/>
      <c r="H141" s="456"/>
      <c r="I141" s="434"/>
      <c r="J141" s="459" t="s">
        <v>46</v>
      </c>
      <c r="K141" s="448"/>
      <c r="L141" s="477" t="s">
        <v>45</v>
      </c>
      <c r="M141" s="452"/>
      <c r="N141" s="454"/>
      <c r="O141" s="470"/>
      <c r="P141" s="471"/>
      <c r="Q141" s="452"/>
      <c r="R141" s="456"/>
      <c r="S141" s="434"/>
      <c r="T141" s="459" t="s">
        <v>46</v>
      </c>
    </row>
    <row r="142" spans="1:20" ht="12.75">
      <c r="A142" s="478">
        <v>1</v>
      </c>
      <c r="B142" s="481">
        <f>'пр.хода'!K20</f>
        <v>13</v>
      </c>
      <c r="C142" s="432" t="str">
        <f>VLOOKUP(B142,'пр.взв.'!B$1:H$215,2,FALSE)</f>
        <v>КОКОВИЧ Илья Игоревич</v>
      </c>
      <c r="D142" s="441" t="str">
        <f>VLOOKUP(B142,'пр.взв.'!B1:H202,3,FALSE)</f>
        <v>15.06.88, МСМК</v>
      </c>
      <c r="E142" s="441" t="str">
        <f>VLOOKUP(C142,'пр.взв.'!C1:I202,3,FALSE)</f>
        <v>МОС</v>
      </c>
      <c r="F142" s="441" t="str">
        <f>VLOOKUP(B142,'пр.взв.'!B1:H202,5,FALSE)</f>
        <v>Москва, Д</v>
      </c>
      <c r="G142" s="460"/>
      <c r="H142" s="446"/>
      <c r="I142" s="440"/>
      <c r="J142" s="453"/>
      <c r="K142" s="478">
        <v>2</v>
      </c>
      <c r="L142" s="481">
        <f>'пр.хода'!U20</f>
        <v>14</v>
      </c>
      <c r="M142" s="432" t="str">
        <f>VLOOKUP(L142,'пр.взв.'!B1:H202,2,FALSE)</f>
        <v>МАКСИМОВ Евгений Олегович</v>
      </c>
      <c r="N142" s="441" t="str">
        <f>VLOOKUP(L142,'пр.взв.'!B1:H202,3,FALSE)</f>
        <v>09.06.87, МС</v>
      </c>
      <c r="O142" s="441" t="str">
        <f>VLOOKUP(M142,'пр.взв.'!C1:I202,3,FALSE)</f>
        <v>ЦФО</v>
      </c>
      <c r="P142" s="441" t="str">
        <f>VLOOKUP(L142,'пр.взв.'!B1:H202,5,FALSE)</f>
        <v>Московская, Мытищи</v>
      </c>
      <c r="Q142" s="460"/>
      <c r="R142" s="446"/>
      <c r="S142" s="440"/>
      <c r="T142" s="453"/>
    </row>
    <row r="143" spans="1:20" ht="12.75">
      <c r="A143" s="479"/>
      <c r="B143" s="482"/>
      <c r="C143" s="433"/>
      <c r="D143" s="424"/>
      <c r="E143" s="424"/>
      <c r="F143" s="424"/>
      <c r="G143" s="424"/>
      <c r="H143" s="424"/>
      <c r="I143" s="320"/>
      <c r="J143" s="285"/>
      <c r="K143" s="479"/>
      <c r="L143" s="482"/>
      <c r="M143" s="433"/>
      <c r="N143" s="424"/>
      <c r="O143" s="424"/>
      <c r="P143" s="424"/>
      <c r="Q143" s="424"/>
      <c r="R143" s="424"/>
      <c r="S143" s="320"/>
      <c r="T143" s="285"/>
    </row>
    <row r="144" spans="1:20" ht="12.75">
      <c r="A144" s="479"/>
      <c r="B144" s="483">
        <f>'пр.хода'!K53</f>
        <v>27</v>
      </c>
      <c r="C144" s="419" t="str">
        <f>VLOOKUP(B144,'пр.взв.'!B$1:H$217,2,FALSE)</f>
        <v>КИРЮХИН Сергей Александрович</v>
      </c>
      <c r="D144" s="421" t="str">
        <f>VLOOKUP(B144,'пр.взв.'!B1:H204,3,FALSE)</f>
        <v>23.02.87, ЗМС</v>
      </c>
      <c r="E144" s="421" t="str">
        <f>VLOOKUP(C144,'пр.взв.'!C1:I204,3,FALSE)</f>
        <v>СПБ</v>
      </c>
      <c r="F144" s="421" t="str">
        <f>VLOOKUP(B144,'пр.взв.'!B1:H204,5,FALSE)</f>
        <v>С-Петербург, ВС</v>
      </c>
      <c r="G144" s="444"/>
      <c r="H144" s="444"/>
      <c r="I144" s="283"/>
      <c r="J144" s="283"/>
      <c r="K144" s="479"/>
      <c r="L144" s="483">
        <f>'пр.хода'!U53</f>
        <v>28</v>
      </c>
      <c r="M144" s="419" t="str">
        <f>VLOOKUP(L144,'пр.взв.'!B1:H204,2,FALSE)</f>
        <v>УЛЬЯХОВ Александр Александрович </v>
      </c>
      <c r="N144" s="421" t="str">
        <f>VLOOKUP(L144,'пр.взв.'!B1:H204,3,FALSE)</f>
        <v>16.07.88 мс</v>
      </c>
      <c r="O144" s="421" t="str">
        <f>VLOOKUP(M144,'пр.взв.'!C1:I204,3,FALSE)</f>
        <v>ЦФО</v>
      </c>
      <c r="P144" s="421" t="str">
        <f>VLOOKUP(L144,'пр.взв.'!B1:H204,5,FALSE)</f>
        <v>Брянская Брянск Д</v>
      </c>
      <c r="Q144" s="444"/>
      <c r="R144" s="444"/>
      <c r="S144" s="283"/>
      <c r="T144" s="283"/>
    </row>
    <row r="145" spans="1:20" ht="13.5" thickBot="1">
      <c r="A145" s="480"/>
      <c r="B145" s="484"/>
      <c r="C145" s="420"/>
      <c r="D145" s="422"/>
      <c r="E145" s="422"/>
      <c r="F145" s="422"/>
      <c r="G145" s="445"/>
      <c r="H145" s="445"/>
      <c r="I145" s="434"/>
      <c r="J145" s="434"/>
      <c r="K145" s="480"/>
      <c r="L145" s="484"/>
      <c r="M145" s="420"/>
      <c r="N145" s="422"/>
      <c r="O145" s="422"/>
      <c r="P145" s="422"/>
      <c r="Q145" s="445"/>
      <c r="R145" s="445"/>
      <c r="S145" s="434"/>
      <c r="T145" s="434"/>
    </row>
    <row r="147" spans="1:20" ht="15">
      <c r="A147" s="485" t="s">
        <v>52</v>
      </c>
      <c r="B147" s="485"/>
      <c r="C147" s="485"/>
      <c r="D147" s="485"/>
      <c r="E147" s="485"/>
      <c r="F147" s="485"/>
      <c r="G147" s="485"/>
      <c r="H147" s="485"/>
      <c r="I147" s="485"/>
      <c r="J147" s="485"/>
      <c r="K147" s="485" t="s">
        <v>53</v>
      </c>
      <c r="L147" s="485"/>
      <c r="M147" s="485"/>
      <c r="N147" s="485"/>
      <c r="O147" s="485"/>
      <c r="P147" s="485"/>
      <c r="Q147" s="485"/>
      <c r="R147" s="485"/>
      <c r="S147" s="485"/>
      <c r="T147" s="485"/>
    </row>
    <row r="148" spans="2:20" ht="16.5" thickBot="1">
      <c r="B148" s="71" t="s">
        <v>39</v>
      </c>
      <c r="C148" s="94"/>
      <c r="D148" s="94"/>
      <c r="E148" s="94"/>
      <c r="F148" s="94"/>
      <c r="G148" s="95" t="str">
        <f>G139</f>
        <v>в.к. 82 кг.</v>
      </c>
      <c r="H148" s="94"/>
      <c r="I148" s="94"/>
      <c r="J148" s="94"/>
      <c r="K148" s="78"/>
      <c r="L148" s="96" t="s">
        <v>1</v>
      </c>
      <c r="M148" s="94"/>
      <c r="N148" s="94"/>
      <c r="O148" s="94"/>
      <c r="P148" s="94"/>
      <c r="Q148" s="95" t="str">
        <f>G148</f>
        <v>в.к. 82 кг.</v>
      </c>
      <c r="R148" s="93"/>
      <c r="S148" s="93"/>
      <c r="T148" s="93"/>
    </row>
    <row r="149" spans="1:20" ht="12.75" customHeight="1">
      <c r="A149" s="447" t="s">
        <v>42</v>
      </c>
      <c r="B149" s="449" t="s">
        <v>3</v>
      </c>
      <c r="C149" s="451" t="s">
        <v>4</v>
      </c>
      <c r="D149" s="453" t="s">
        <v>13</v>
      </c>
      <c r="E149" s="468" t="s">
        <v>14</v>
      </c>
      <c r="F149" s="469"/>
      <c r="G149" s="451" t="s">
        <v>15</v>
      </c>
      <c r="H149" s="455" t="s">
        <v>43</v>
      </c>
      <c r="I149" s="457" t="s">
        <v>44</v>
      </c>
      <c r="J149" s="458" t="s">
        <v>17</v>
      </c>
      <c r="K149" s="447" t="s">
        <v>42</v>
      </c>
      <c r="L149" s="449" t="s">
        <v>3</v>
      </c>
      <c r="M149" s="451" t="s">
        <v>4</v>
      </c>
      <c r="N149" s="453" t="s">
        <v>13</v>
      </c>
      <c r="O149" s="468" t="s">
        <v>14</v>
      </c>
      <c r="P149" s="469"/>
      <c r="Q149" s="451" t="s">
        <v>15</v>
      </c>
      <c r="R149" s="455" t="s">
        <v>43</v>
      </c>
      <c r="S149" s="457" t="s">
        <v>44</v>
      </c>
      <c r="T149" s="458" t="s">
        <v>17</v>
      </c>
    </row>
    <row r="150" spans="1:20" ht="13.5" customHeight="1" thickBot="1">
      <c r="A150" s="448"/>
      <c r="B150" s="477" t="s">
        <v>45</v>
      </c>
      <c r="C150" s="452"/>
      <c r="D150" s="454"/>
      <c r="E150" s="470"/>
      <c r="F150" s="471"/>
      <c r="G150" s="452"/>
      <c r="H150" s="456"/>
      <c r="I150" s="434"/>
      <c r="J150" s="459" t="s">
        <v>46</v>
      </c>
      <c r="K150" s="448"/>
      <c r="L150" s="477" t="s">
        <v>45</v>
      </c>
      <c r="M150" s="452"/>
      <c r="N150" s="454"/>
      <c r="O150" s="470"/>
      <c r="P150" s="471"/>
      <c r="Q150" s="452"/>
      <c r="R150" s="456"/>
      <c r="S150" s="434"/>
      <c r="T150" s="459" t="s">
        <v>46</v>
      </c>
    </row>
    <row r="151" spans="1:20" ht="12.75" hidden="1">
      <c r="A151" s="427">
        <v>1</v>
      </c>
      <c r="B151" s="487">
        <f>'пр.хода'!L7</f>
        <v>45</v>
      </c>
      <c r="C151" s="432" t="str">
        <f>VLOOKUP(B151,'пр.взв.'!B2:H624,2,FALSE)</f>
        <v>ДЁМИН Антон Александрович</v>
      </c>
      <c r="D151" s="441" t="str">
        <f>VLOOKUP(B151,'пр.взв.'!B2:H211,3,FALSE)</f>
        <v>16.10.89, МС</v>
      </c>
      <c r="E151" s="441" t="str">
        <f>VLOOKUP(C151,'пр.взв.'!C2:I211,3,FALSE)</f>
        <v>ПФО</v>
      </c>
      <c r="F151" s="441" t="str">
        <f>VLOOKUP(B151,'пр.взв.'!B2:H211,5,FALSE)</f>
        <v>Саратовская,Балашов</v>
      </c>
      <c r="G151" s="460"/>
      <c r="H151" s="446"/>
      <c r="I151" s="440"/>
      <c r="J151" s="453"/>
      <c r="K151" s="427">
        <v>3</v>
      </c>
      <c r="L151" s="487">
        <f>'пр.хода'!L56</f>
        <v>46</v>
      </c>
      <c r="M151" s="432" t="str">
        <f>VLOOKUP(L151,'пр.взв.'!B2:H211,2,FALSE)</f>
        <v>МОШЕНКО Никита Валерьевич</v>
      </c>
      <c r="N151" s="441" t="str">
        <f>VLOOKUP(L151,'пр.взв.'!B2:H211,3,FALSE)</f>
        <v>27.12.90, МС</v>
      </c>
      <c r="O151" s="441" t="str">
        <f>VLOOKUP(M151,'пр.взв.'!C2:I211,3,FALSE)</f>
        <v>МОС</v>
      </c>
      <c r="P151" s="441" t="str">
        <f>VLOOKUP(L151,'пр.взв.'!B2:H211,5,FALSE)</f>
        <v>Москва, Д</v>
      </c>
      <c r="Q151" s="460"/>
      <c r="R151" s="446"/>
      <c r="S151" s="440"/>
      <c r="T151" s="453"/>
    </row>
    <row r="152" spans="1:20" ht="12.75" hidden="1">
      <c r="A152" s="428"/>
      <c r="B152" s="488"/>
      <c r="C152" s="433"/>
      <c r="D152" s="424"/>
      <c r="E152" s="424"/>
      <c r="F152" s="424"/>
      <c r="G152" s="424"/>
      <c r="H152" s="424"/>
      <c r="I152" s="320"/>
      <c r="J152" s="285"/>
      <c r="K152" s="428"/>
      <c r="L152" s="488"/>
      <c r="M152" s="433"/>
      <c r="N152" s="424"/>
      <c r="O152" s="424"/>
      <c r="P152" s="424"/>
      <c r="Q152" s="424"/>
      <c r="R152" s="424"/>
      <c r="S152" s="320"/>
      <c r="T152" s="285"/>
    </row>
    <row r="153" spans="1:20" ht="12.75" hidden="1">
      <c r="A153" s="428"/>
      <c r="B153" s="489">
        <f>'пр.хода'!L10</f>
        <v>29</v>
      </c>
      <c r="C153" s="419" t="str">
        <f>VLOOKUP(B153,'пр.взв.'!B2:H626,2,FALSE)</f>
        <v>ГЕРЕКОВ Рустам Магомедрасулович</v>
      </c>
      <c r="D153" s="421" t="str">
        <f>VLOOKUP(B153,'пр.взв.'!B2:H213,3,FALSE)</f>
        <v>25.07.95, МС</v>
      </c>
      <c r="E153" s="421" t="str">
        <f>VLOOKUP(C153,'пр.взв.'!C2:I213,3,FALSE)</f>
        <v>СПБ</v>
      </c>
      <c r="F153" s="423" t="str">
        <f>VLOOKUP(B153,'пр.взв.'!B5:H213,5,FALSE)</f>
        <v>С-Петербург, МО</v>
      </c>
      <c r="G153" s="444"/>
      <c r="H153" s="444"/>
      <c r="I153" s="283"/>
      <c r="J153" s="283"/>
      <c r="K153" s="428"/>
      <c r="L153" s="489">
        <f>'пр.хода'!L59</f>
        <v>30</v>
      </c>
      <c r="M153" s="419" t="str">
        <f>VLOOKUP(L153,'пр.взв.'!B2:H213,2,FALSE)</f>
        <v>ЕРМОЛАЕВ Сергей Алексеевич </v>
      </c>
      <c r="N153" s="421" t="str">
        <f>VLOOKUP(L153,'пр.взв.'!B2:H213,3,FALSE)</f>
        <v>14.07.89 мс</v>
      </c>
      <c r="O153" s="421" t="str">
        <f>VLOOKUP(M153,'пр.взв.'!C2:I213,3,FALSE)</f>
        <v>КФО</v>
      </c>
      <c r="P153" s="423" t="str">
        <f>VLOOKUP(L153,'пр.взв.'!B5:H213,5,FALSE)</f>
        <v>Р. Крым, Феодосия</v>
      </c>
      <c r="Q153" s="444"/>
      <c r="R153" s="444"/>
      <c r="S153" s="283"/>
      <c r="T153" s="283"/>
    </row>
    <row r="154" spans="1:20" ht="13.5" hidden="1" thickBot="1">
      <c r="A154" s="486"/>
      <c r="B154" s="490"/>
      <c r="C154" s="420"/>
      <c r="D154" s="422"/>
      <c r="E154" s="422"/>
      <c r="F154" s="424"/>
      <c r="G154" s="445"/>
      <c r="H154" s="445"/>
      <c r="I154" s="434"/>
      <c r="J154" s="434"/>
      <c r="K154" s="486"/>
      <c r="L154" s="490"/>
      <c r="M154" s="420"/>
      <c r="N154" s="422"/>
      <c r="O154" s="422"/>
      <c r="P154" s="424"/>
      <c r="Q154" s="445"/>
      <c r="R154" s="445"/>
      <c r="S154" s="434"/>
      <c r="T154" s="434"/>
    </row>
    <row r="155" spans="1:20" ht="12.75" hidden="1">
      <c r="A155" s="427">
        <v>2</v>
      </c>
      <c r="B155" s="491">
        <f>'пр.хода'!L14</f>
        <v>59</v>
      </c>
      <c r="C155" s="432" t="e">
        <f>VLOOKUP(B155,'пр.взв.'!B2:H628,2,FALSE)</f>
        <v>#N/A</v>
      </c>
      <c r="D155" s="441" t="e">
        <f>VLOOKUP(B155,'пр.взв.'!B2:H215,3,FALSE)</f>
        <v>#N/A</v>
      </c>
      <c r="E155" s="441" t="e">
        <f>VLOOKUP(C155,'пр.взв.'!C2:I215,3,FALSE)</f>
        <v>#N/A</v>
      </c>
      <c r="F155" s="441" t="e">
        <f>VLOOKUP(B155,'пр.взв.'!B7:H215,5,FALSE)</f>
        <v>#N/A</v>
      </c>
      <c r="G155" s="460"/>
      <c r="H155" s="466"/>
      <c r="I155" s="280"/>
      <c r="J155" s="284"/>
      <c r="K155" s="427">
        <v>4</v>
      </c>
      <c r="L155" s="491">
        <f>'пр.хода'!L63</f>
        <v>60</v>
      </c>
      <c r="M155" s="432" t="e">
        <f>VLOOKUP(L155,'пр.взв.'!B2:H215,2,FALSE)</f>
        <v>#N/A</v>
      </c>
      <c r="N155" s="441" t="e">
        <f>VLOOKUP(L155,'пр.взв.'!B2:H215,3,FALSE)</f>
        <v>#N/A</v>
      </c>
      <c r="O155" s="441" t="e">
        <f>VLOOKUP(M155,'пр.взв.'!C2:I215,3,FALSE)</f>
        <v>#N/A</v>
      </c>
      <c r="P155" s="441" t="e">
        <f>VLOOKUP(L155,'пр.взв.'!B7:H215,5,FALSE)</f>
        <v>#N/A</v>
      </c>
      <c r="Q155" s="464"/>
      <c r="R155" s="466"/>
      <c r="S155" s="280"/>
      <c r="T155" s="284"/>
    </row>
    <row r="156" spans="1:20" ht="12.75" hidden="1">
      <c r="A156" s="428"/>
      <c r="B156" s="488"/>
      <c r="C156" s="433"/>
      <c r="D156" s="424"/>
      <c r="E156" s="424"/>
      <c r="F156" s="424"/>
      <c r="G156" s="424"/>
      <c r="H156" s="424"/>
      <c r="I156" s="320"/>
      <c r="J156" s="285"/>
      <c r="K156" s="428"/>
      <c r="L156" s="488"/>
      <c r="M156" s="433"/>
      <c r="N156" s="424"/>
      <c r="O156" s="424"/>
      <c r="P156" s="424"/>
      <c r="Q156" s="424"/>
      <c r="R156" s="424"/>
      <c r="S156" s="320"/>
      <c r="T156" s="285"/>
    </row>
    <row r="157" spans="1:20" ht="12.75" hidden="1">
      <c r="A157" s="428"/>
      <c r="B157" s="489">
        <f>'пр.хода'!L17</f>
        <v>11</v>
      </c>
      <c r="C157" s="419" t="str">
        <f>VLOOKUP(B157,'пр.взв.'!B2:H630,2,FALSE)</f>
        <v>СУХАНОВ Денис Николаевич</v>
      </c>
      <c r="D157" s="421" t="str">
        <f>VLOOKUP(B157,'пр.взв.'!B2:H217,3,FALSE)</f>
        <v>22.03.91 мсмк</v>
      </c>
      <c r="E157" s="421" t="str">
        <f>VLOOKUP(C157,'пр.взв.'!C2:I217,3,FALSE)</f>
        <v>УФО</v>
      </c>
      <c r="F157" s="421" t="str">
        <f>VLOOKUP(B157,'пр.взв.'!B9:H217,5,FALSE)</f>
        <v>Курганская Курган</v>
      </c>
      <c r="G157" s="444"/>
      <c r="H157" s="444"/>
      <c r="I157" s="283"/>
      <c r="J157" s="283"/>
      <c r="K157" s="428"/>
      <c r="L157" s="489">
        <f>'пр.хода'!L66</f>
        <v>44</v>
      </c>
      <c r="M157" s="419" t="str">
        <f>VLOOKUP(L157,'пр.взв.'!B2:H217,2,FALSE)</f>
        <v>РЫБИН Дмитрий Сергеевич</v>
      </c>
      <c r="N157" s="421" t="str">
        <f>VLOOKUP(L157,'пр.взв.'!B2:H217,3,FALSE)</f>
        <v>18.08.93 мс</v>
      </c>
      <c r="O157" s="421" t="str">
        <f>VLOOKUP(M157,'пр.взв.'!C2:I217,3,FALSE)</f>
        <v>ЦФО</v>
      </c>
      <c r="P157" s="421" t="str">
        <f>VLOOKUP(L157,'пр.взв.'!B9:H217,5,FALSE)</f>
        <v>Московская, Дмитров</v>
      </c>
      <c r="Q157" s="444"/>
      <c r="R157" s="444"/>
      <c r="S157" s="283"/>
      <c r="T157" s="283"/>
    </row>
    <row r="158" spans="1:20" ht="13.5" hidden="1" thickBot="1">
      <c r="A158" s="429"/>
      <c r="B158" s="490"/>
      <c r="C158" s="420"/>
      <c r="D158" s="422"/>
      <c r="E158" s="422"/>
      <c r="F158" s="422"/>
      <c r="G158" s="445"/>
      <c r="H158" s="445"/>
      <c r="I158" s="434"/>
      <c r="J158" s="434"/>
      <c r="K158" s="429"/>
      <c r="L158" s="490"/>
      <c r="M158" s="420"/>
      <c r="N158" s="422"/>
      <c r="O158" s="422"/>
      <c r="P158" s="422"/>
      <c r="Q158" s="445"/>
      <c r="R158" s="445"/>
      <c r="S158" s="434"/>
      <c r="T158" s="434"/>
    </row>
    <row r="159" spans="3:13" ht="13.5" hidden="1" thickBot="1">
      <c r="C159" s="50"/>
      <c r="M159" s="50"/>
    </row>
    <row r="160" spans="1:20" ht="12.75" hidden="1">
      <c r="A160" s="492">
        <v>5</v>
      </c>
      <c r="B160" s="487">
        <f>'пр.хода'!N8</f>
        <v>45</v>
      </c>
      <c r="C160" s="432" t="str">
        <f>VLOOKUP(B160,'пр.взв.'!B4:H633,2,FALSE)</f>
        <v>ДЁМИН Антон Александрович</v>
      </c>
      <c r="D160" s="441" t="str">
        <f>VLOOKUP(B160,'пр.взв.'!B4:H220,3,FALSE)</f>
        <v>16.10.89, МС</v>
      </c>
      <c r="E160" s="441" t="str">
        <f>VLOOKUP(C160,'пр.взв.'!C4:I220,3,FALSE)</f>
        <v>ПФО</v>
      </c>
      <c r="F160" s="441" t="str">
        <f>VLOOKUP(B160,'пр.взв.'!B4:H220,5,FALSE)</f>
        <v>Саратовская,Балашов</v>
      </c>
      <c r="G160" s="460"/>
      <c r="H160" s="446"/>
      <c r="I160" s="440"/>
      <c r="J160" s="453"/>
      <c r="K160" s="427">
        <v>7</v>
      </c>
      <c r="L160" s="487">
        <f>'пр.хода'!N57</f>
        <v>46</v>
      </c>
      <c r="M160" s="432" t="str">
        <f>VLOOKUP(L160,'пр.взв.'!B4:H220,2,FALSE)</f>
        <v>МОШЕНКО Никита Валерьевич</v>
      </c>
      <c r="N160" s="441" t="str">
        <f>VLOOKUP(L160,'пр.взв.'!B4:H220,3,FALSE)</f>
        <v>27.12.90, МС</v>
      </c>
      <c r="O160" s="441" t="str">
        <f>VLOOKUP(M160,'пр.взв.'!C4:I220,3,FALSE)</f>
        <v>МОС</v>
      </c>
      <c r="P160" s="441" t="str">
        <f>VLOOKUP(L160,'пр.взв.'!B4:H220,5,FALSE)</f>
        <v>Москва, Д</v>
      </c>
      <c r="Q160" s="460"/>
      <c r="R160" s="446"/>
      <c r="S160" s="440"/>
      <c r="T160" s="495"/>
    </row>
    <row r="161" spans="1:20" ht="12.75" hidden="1">
      <c r="A161" s="493"/>
      <c r="B161" s="488"/>
      <c r="C161" s="433"/>
      <c r="D161" s="424"/>
      <c r="E161" s="424"/>
      <c r="F161" s="424"/>
      <c r="G161" s="424"/>
      <c r="H161" s="424"/>
      <c r="I161" s="320"/>
      <c r="J161" s="285"/>
      <c r="K161" s="428"/>
      <c r="L161" s="488"/>
      <c r="M161" s="433"/>
      <c r="N161" s="424"/>
      <c r="O161" s="424"/>
      <c r="P161" s="424"/>
      <c r="Q161" s="424"/>
      <c r="R161" s="424"/>
      <c r="S161" s="320"/>
      <c r="T161" s="496"/>
    </row>
    <row r="162" spans="1:20" ht="12.75" hidden="1">
      <c r="A162" s="493"/>
      <c r="B162" s="489">
        <f>'пр.хода'!N11</f>
        <v>21</v>
      </c>
      <c r="C162" s="419" t="str">
        <f>VLOOKUP(B162,'пр.взв.'!B4:H635,2,FALSE)</f>
        <v>МАТЕВОСЯН Левон Эдуардович</v>
      </c>
      <c r="D162" s="421" t="str">
        <f>VLOOKUP(B162,'пр.взв.'!B4:H222,3,FALSE)</f>
        <v>30.10.1988 мс</v>
      </c>
      <c r="E162" s="421" t="str">
        <f>VLOOKUP(C162,'пр.взв.'!C4:I222,3,FALSE)</f>
        <v>ЮФО</v>
      </c>
      <c r="F162" s="423" t="str">
        <f>VLOOKUP(B162,'пр.взв.'!B6:H222,5,FALSE)</f>
        <v>Краснодарский край Новоросийск, Д</v>
      </c>
      <c r="G162" s="444"/>
      <c r="H162" s="444"/>
      <c r="I162" s="283"/>
      <c r="J162" s="283"/>
      <c r="K162" s="428"/>
      <c r="L162" s="489">
        <f>'пр.хода'!N60</f>
        <v>38</v>
      </c>
      <c r="M162" s="419" t="str">
        <f>VLOOKUP(L162,'пр.взв.'!B4:H222,2,FALSE)</f>
        <v>ДЕМЬЯНЕНКО Сергей Александрович</v>
      </c>
      <c r="N162" s="421" t="str">
        <f>VLOOKUP(L162,'пр.взв.'!B4:H222,3,FALSE)</f>
        <v>13.02.92, МС</v>
      </c>
      <c r="O162" s="421" t="str">
        <f>VLOOKUP(M162,'пр.взв.'!C4:I222,3,FALSE)</f>
        <v>СФО</v>
      </c>
      <c r="P162" s="423" t="str">
        <f>VLOOKUP(L162,'пр.взв.'!B6:H222,5,FALSE)</f>
        <v>Омская, Омск, МО, СибГУФК</v>
      </c>
      <c r="Q162" s="444"/>
      <c r="R162" s="444"/>
      <c r="S162" s="283"/>
      <c r="T162" s="497"/>
    </row>
    <row r="163" spans="1:20" ht="13.5" hidden="1" thickBot="1">
      <c r="A163" s="494"/>
      <c r="B163" s="490"/>
      <c r="C163" s="420"/>
      <c r="D163" s="422"/>
      <c r="E163" s="422"/>
      <c r="F163" s="424"/>
      <c r="G163" s="445"/>
      <c r="H163" s="445"/>
      <c r="I163" s="434"/>
      <c r="J163" s="434"/>
      <c r="K163" s="429"/>
      <c r="L163" s="490"/>
      <c r="M163" s="420"/>
      <c r="N163" s="422"/>
      <c r="O163" s="422"/>
      <c r="P163" s="424"/>
      <c r="Q163" s="445"/>
      <c r="R163" s="445"/>
      <c r="S163" s="434"/>
      <c r="T163" s="498"/>
    </row>
    <row r="164" spans="1:20" ht="12.75" hidden="1">
      <c r="A164" s="493">
        <v>6</v>
      </c>
      <c r="B164" s="491">
        <f>'пр.хода'!N15</f>
        <v>11</v>
      </c>
      <c r="C164" s="432" t="str">
        <f>VLOOKUP(B164,'пр.взв.'!B4:H637,2,FALSE)</f>
        <v>СУХАНОВ Денис Николаевич</v>
      </c>
      <c r="D164" s="441" t="str">
        <f>VLOOKUP(B164,'пр.взв.'!B4:H224,3,FALSE)</f>
        <v>22.03.91 мсмк</v>
      </c>
      <c r="E164" s="441" t="str">
        <f>VLOOKUP(C164,'пр.взв.'!C4:I224,3,FALSE)</f>
        <v>УФО</v>
      </c>
      <c r="F164" s="441" t="str">
        <f>VLOOKUP(B164,'пр.взв.'!B8:H224,5,FALSE)</f>
        <v>Курганская Курган</v>
      </c>
      <c r="G164" s="460"/>
      <c r="H164" s="466"/>
      <c r="I164" s="280"/>
      <c r="J164" s="284"/>
      <c r="K164" s="428">
        <v>8</v>
      </c>
      <c r="L164" s="491">
        <f>'пр.хода'!N64</f>
        <v>44</v>
      </c>
      <c r="M164" s="432" t="str">
        <f>VLOOKUP(L164,'пр.взв.'!B4:H224,2,FALSE)</f>
        <v>РЫБИН Дмитрий Сергеевич</v>
      </c>
      <c r="N164" s="441" t="str">
        <f>VLOOKUP(L164,'пр.взв.'!B4:H224,3,FALSE)</f>
        <v>18.08.93 мс</v>
      </c>
      <c r="O164" s="441" t="str">
        <f>VLOOKUP(M164,'пр.взв.'!C4:I224,3,FALSE)</f>
        <v>ЦФО</v>
      </c>
      <c r="P164" s="441" t="str">
        <f>VLOOKUP(L164,'пр.взв.'!B8:H224,5,FALSE)</f>
        <v>Московская, Дмитров</v>
      </c>
      <c r="Q164" s="464"/>
      <c r="R164" s="466"/>
      <c r="S164" s="280"/>
      <c r="T164" s="499"/>
    </row>
    <row r="165" spans="1:20" ht="13.5" hidden="1" thickBot="1">
      <c r="A165" s="493"/>
      <c r="B165" s="488"/>
      <c r="C165" s="433"/>
      <c r="D165" s="424"/>
      <c r="E165" s="424"/>
      <c r="F165" s="424"/>
      <c r="G165" s="424"/>
      <c r="H165" s="424"/>
      <c r="I165" s="320"/>
      <c r="J165" s="285"/>
      <c r="K165" s="428"/>
      <c r="L165" s="488"/>
      <c r="M165" s="433"/>
      <c r="N165" s="424"/>
      <c r="O165" s="424"/>
      <c r="P165" s="424"/>
      <c r="Q165" s="424"/>
      <c r="R165" s="424"/>
      <c r="S165" s="320"/>
      <c r="T165" s="496"/>
    </row>
    <row r="166" spans="1:20" ht="12.75" hidden="1">
      <c r="A166" s="493"/>
      <c r="B166" s="489">
        <f>'пр.хода'!N18</f>
        <v>19</v>
      </c>
      <c r="C166" s="419" t="str">
        <f>VLOOKUP(B166,'пр.взв.'!B4:H639,2,FALSE)</f>
        <v>ГАЛСТЯН Самвел Мкртичович</v>
      </c>
      <c r="D166" s="421" t="str">
        <f>VLOOKUP(B166,'пр.взв.'!B4:H226,3,FALSE)</f>
        <v>22.07.93 мс</v>
      </c>
      <c r="E166" s="421" t="str">
        <f>VLOOKUP(C166,'пр.взв.'!C4:I226,3,FALSE)</f>
        <v>ЮФО</v>
      </c>
      <c r="F166" s="421" t="str">
        <f>VLOOKUP(B166,'пр.взв.'!B10:H226,5,FALSE)</f>
        <v>Краснодарский, Армавир</v>
      </c>
      <c r="G166" s="444"/>
      <c r="H166" s="444"/>
      <c r="I166" s="283"/>
      <c r="J166" s="283"/>
      <c r="K166" s="428"/>
      <c r="L166" s="489">
        <f>'пр.хода'!N67</f>
        <v>4</v>
      </c>
      <c r="M166" s="419" t="str">
        <f>VLOOKUP(L166,'пр.взв.'!B4:H226,2,FALSE)</f>
        <v>ТЫЩЕНКО  Никита Викторович</v>
      </c>
      <c r="N166" s="421" t="str">
        <f>VLOOKUP(L166,'пр.взв.'!B4:H226,3,FALSE)</f>
        <v>13.04.1990, мс</v>
      </c>
      <c r="O166" s="421" t="str">
        <f>VLOOKUP(M166,'пр.взв.'!C4:I226,3,FALSE)</f>
        <v>СЕВ</v>
      </c>
      <c r="P166" s="441" t="str">
        <f>VLOOKUP(L166,'пр.взв.'!B10:H226,5,FALSE)</f>
        <v>Севастополь</v>
      </c>
      <c r="Q166" s="444"/>
      <c r="R166" s="444"/>
      <c r="S166" s="283"/>
      <c r="T166" s="497"/>
    </row>
    <row r="167" spans="1:20" ht="13.5" hidden="1" thickBot="1">
      <c r="A167" s="494"/>
      <c r="B167" s="490"/>
      <c r="C167" s="420"/>
      <c r="D167" s="422"/>
      <c r="E167" s="422"/>
      <c r="F167" s="422"/>
      <c r="G167" s="445"/>
      <c r="H167" s="445"/>
      <c r="I167" s="434"/>
      <c r="J167" s="434"/>
      <c r="K167" s="429"/>
      <c r="L167" s="490"/>
      <c r="M167" s="420"/>
      <c r="N167" s="422"/>
      <c r="O167" s="422"/>
      <c r="P167" s="422"/>
      <c r="Q167" s="445"/>
      <c r="R167" s="445"/>
      <c r="S167" s="434"/>
      <c r="T167" s="498"/>
    </row>
    <row r="168" spans="1:20" ht="13.5" hidden="1" thickBot="1">
      <c r="A168" s="104"/>
      <c r="B168" s="104"/>
      <c r="C168" s="105"/>
      <c r="D168" s="104"/>
      <c r="E168" s="104"/>
      <c r="F168" s="104"/>
      <c r="G168" s="104"/>
      <c r="H168" s="104"/>
      <c r="I168" s="104"/>
      <c r="J168" s="104"/>
      <c r="K168" s="104"/>
      <c r="L168" s="104"/>
      <c r="M168" s="105"/>
      <c r="N168" s="104"/>
      <c r="O168" s="104"/>
      <c r="P168" s="104"/>
      <c r="Q168" s="104"/>
      <c r="R168" s="104"/>
      <c r="S168" s="104"/>
      <c r="T168" s="104"/>
    </row>
    <row r="169" spans="1:20" ht="12.75" hidden="1">
      <c r="A169" s="428">
        <v>9</v>
      </c>
      <c r="B169" s="491">
        <f>'пр.хода'!O10</f>
        <v>45</v>
      </c>
      <c r="C169" s="500" t="str">
        <f>VLOOKUP(B169,'пр.взв.'!B5:H642,2,FALSE)</f>
        <v>ДЁМИН Антон Александрович</v>
      </c>
      <c r="D169" s="423" t="str">
        <f>VLOOKUP(B169,'пр.взв.'!B5:H229,3,FALSE)</f>
        <v>16.10.89, МС</v>
      </c>
      <c r="E169" s="423" t="str">
        <f>VLOOKUP(C169,'пр.взв.'!C5:I229,3,FALSE)</f>
        <v>ПФО</v>
      </c>
      <c r="F169" s="423" t="str">
        <f>VLOOKUP(B169,'пр.взв.'!B5:H229,5,FALSE)</f>
        <v>Саратовская,Балашов</v>
      </c>
      <c r="G169" s="464"/>
      <c r="H169" s="466"/>
      <c r="I169" s="280"/>
      <c r="J169" s="284"/>
      <c r="K169" s="428">
        <v>11</v>
      </c>
      <c r="L169" s="491">
        <f>'пр.хода'!O59</f>
        <v>46</v>
      </c>
      <c r="M169" s="500" t="str">
        <f>VLOOKUP(L169,'пр.взв.'!B5:H229,2,FALSE)</f>
        <v>МОШЕНКО Никита Валерьевич</v>
      </c>
      <c r="N169" s="423" t="str">
        <f>VLOOKUP(L169,'пр.взв.'!B5:H229,3,FALSE)</f>
        <v>27.12.90, МС</v>
      </c>
      <c r="O169" s="423" t="str">
        <f>VLOOKUP(M169,'пр.взв.'!C5:I229,3,FALSE)</f>
        <v>МОС</v>
      </c>
      <c r="P169" s="423" t="str">
        <f>VLOOKUP(L169,'пр.взв.'!B5:H229,5,FALSE)</f>
        <v>Москва, Д</v>
      </c>
      <c r="Q169" s="464"/>
      <c r="R169" s="466"/>
      <c r="S169" s="280"/>
      <c r="T169" s="284"/>
    </row>
    <row r="170" spans="1:20" ht="12.75" hidden="1">
      <c r="A170" s="428"/>
      <c r="B170" s="488"/>
      <c r="C170" s="433"/>
      <c r="D170" s="424"/>
      <c r="E170" s="424"/>
      <c r="F170" s="424"/>
      <c r="G170" s="424"/>
      <c r="H170" s="424"/>
      <c r="I170" s="320"/>
      <c r="J170" s="285"/>
      <c r="K170" s="428"/>
      <c r="L170" s="488"/>
      <c r="M170" s="433"/>
      <c r="N170" s="424"/>
      <c r="O170" s="424"/>
      <c r="P170" s="424"/>
      <c r="Q170" s="424"/>
      <c r="R170" s="424"/>
      <c r="S170" s="320"/>
      <c r="T170" s="285"/>
    </row>
    <row r="171" spans="1:20" ht="12.75" hidden="1">
      <c r="A171" s="428"/>
      <c r="B171" s="489">
        <f>'пр.хода'!O13</f>
        <v>41</v>
      </c>
      <c r="C171" s="419" t="str">
        <f>VLOOKUP(B171,'пр.взв.'!B5:H644,2,FALSE)</f>
        <v>ЛЕБЕДЕВ Георгий Андреевич</v>
      </c>
      <c r="D171" s="421" t="str">
        <f>VLOOKUP(B171,'пр.взв.'!B5:H231,3,FALSE)</f>
        <v>12.07.91. мсмк</v>
      </c>
      <c r="E171" s="421" t="str">
        <f>VLOOKUP(C171,'пр.взв.'!C5:I231,3,FALSE)</f>
        <v>ПФО</v>
      </c>
      <c r="F171" s="421" t="str">
        <f>VLOOKUP(B171,'пр.взв.'!B7:H231,5,FALSE)</f>
        <v>Пензенская, Пенза, Д</v>
      </c>
      <c r="G171" s="444"/>
      <c r="H171" s="444"/>
      <c r="I171" s="283"/>
      <c r="J171" s="283"/>
      <c r="K171" s="428"/>
      <c r="L171" s="489">
        <f>'пр.хода'!O62</f>
        <v>26</v>
      </c>
      <c r="M171" s="419" t="str">
        <f>VLOOKUP(L171,'пр.взв.'!B5:H231,2,FALSE)</f>
        <v>СУХОГУЗОВ Иван Сергеевич</v>
      </c>
      <c r="N171" s="421" t="str">
        <f>VLOOKUP(L171,'пр.взв.'!B5:H231,3,FALSE)</f>
        <v>19.02.92, МС</v>
      </c>
      <c r="O171" s="421" t="str">
        <f>VLOOKUP(M171,'пр.взв.'!C5:I231,3,FALSE)</f>
        <v>УФО</v>
      </c>
      <c r="P171" s="421" t="str">
        <f>VLOOKUP(L171,'пр.взв.'!B7:H231,5,FALSE)</f>
        <v>Свердловская, В.Пышма, Д</v>
      </c>
      <c r="Q171" s="444"/>
      <c r="R171" s="444"/>
      <c r="S171" s="283"/>
      <c r="T171" s="283"/>
    </row>
    <row r="172" spans="1:20" ht="13.5" hidden="1" thickBot="1">
      <c r="A172" s="429"/>
      <c r="B172" s="490"/>
      <c r="C172" s="420"/>
      <c r="D172" s="422"/>
      <c r="E172" s="422"/>
      <c r="F172" s="422"/>
      <c r="G172" s="445"/>
      <c r="H172" s="445"/>
      <c r="I172" s="434"/>
      <c r="J172" s="434"/>
      <c r="K172" s="429"/>
      <c r="L172" s="490"/>
      <c r="M172" s="420"/>
      <c r="N172" s="422"/>
      <c r="O172" s="422"/>
      <c r="P172" s="422"/>
      <c r="Q172" s="445"/>
      <c r="R172" s="445"/>
      <c r="S172" s="434"/>
      <c r="T172" s="434"/>
    </row>
    <row r="173" spans="1:20" ht="12.75" hidden="1">
      <c r="A173" s="427">
        <v>10</v>
      </c>
      <c r="B173" s="487">
        <f>'пр.хода'!O17</f>
        <v>11</v>
      </c>
      <c r="C173" s="432" t="str">
        <f>VLOOKUP(B173,'пр.взв.'!B5:H646,2,FALSE)</f>
        <v>СУХАНОВ Денис Николаевич</v>
      </c>
      <c r="D173" s="441" t="str">
        <f>VLOOKUP(B173,'пр.взв.'!B5:H233,3,FALSE)</f>
        <v>22.03.91 мсмк</v>
      </c>
      <c r="E173" s="441" t="str">
        <f>VLOOKUP(C173,'пр.взв.'!C5:I233,3,FALSE)</f>
        <v>УФО</v>
      </c>
      <c r="F173" s="441" t="str">
        <f>VLOOKUP(B173,'пр.взв.'!B9:H233,5,FALSE)</f>
        <v>Курганская Курган</v>
      </c>
      <c r="G173" s="460"/>
      <c r="H173" s="446"/>
      <c r="I173" s="440"/>
      <c r="J173" s="453"/>
      <c r="K173" s="427">
        <v>12</v>
      </c>
      <c r="L173" s="487">
        <f>'пр.хода'!O66</f>
        <v>44</v>
      </c>
      <c r="M173" s="432" t="str">
        <f>VLOOKUP(L173,'пр.взв.'!B5:H233,2,FALSE)</f>
        <v>РЫБИН Дмитрий Сергеевич</v>
      </c>
      <c r="N173" s="441" t="str">
        <f>VLOOKUP(L173,'пр.взв.'!B5:H233,3,FALSE)</f>
        <v>18.08.93 мс</v>
      </c>
      <c r="O173" s="441" t="str">
        <f>VLOOKUP(M173,'пр.взв.'!C5:I233,3,FALSE)</f>
        <v>ЦФО</v>
      </c>
      <c r="P173" s="423" t="str">
        <f>VLOOKUP(L173,'пр.взв.'!B9:H233,5,FALSE)</f>
        <v>Московская, Дмитров</v>
      </c>
      <c r="Q173" s="460"/>
      <c r="R173" s="446"/>
      <c r="S173" s="440"/>
      <c r="T173" s="453"/>
    </row>
    <row r="174" spans="1:20" ht="12.75" hidden="1">
      <c r="A174" s="428"/>
      <c r="B174" s="488"/>
      <c r="C174" s="433"/>
      <c r="D174" s="424"/>
      <c r="E174" s="424"/>
      <c r="F174" s="424"/>
      <c r="G174" s="424"/>
      <c r="H174" s="424"/>
      <c r="I174" s="320"/>
      <c r="J174" s="285"/>
      <c r="K174" s="428"/>
      <c r="L174" s="488"/>
      <c r="M174" s="433"/>
      <c r="N174" s="424"/>
      <c r="O174" s="424"/>
      <c r="P174" s="424"/>
      <c r="Q174" s="424"/>
      <c r="R174" s="424"/>
      <c r="S174" s="320"/>
      <c r="T174" s="285"/>
    </row>
    <row r="175" spans="1:20" ht="12.75" hidden="1">
      <c r="A175" s="428"/>
      <c r="B175" s="489">
        <f>'пр.хода'!O20</f>
        <v>47</v>
      </c>
      <c r="C175" s="419" t="str">
        <f>VLOOKUP(B175,'пр.взв.'!B5:H648,2,FALSE)</f>
        <v>МОТОРКИН Андрей Владимирович</v>
      </c>
      <c r="D175" s="421" t="str">
        <f>VLOOKUP(B175,'пр.взв.'!B5:H235,3,FALSE)</f>
        <v>19.07.80 мсмк</v>
      </c>
      <c r="E175" s="421" t="str">
        <f>VLOOKUP(C175,'пр.взв.'!C5:I235,3,FALSE)</f>
        <v>ЦФО</v>
      </c>
      <c r="F175" s="423" t="str">
        <f>VLOOKUP(B175,'пр.взв.'!B11:H235,5,FALSE)</f>
        <v>Брянская Брянск Д</v>
      </c>
      <c r="G175" s="444"/>
      <c r="H175" s="444"/>
      <c r="I175" s="283"/>
      <c r="J175" s="283"/>
      <c r="K175" s="428"/>
      <c r="L175" s="489">
        <f>'пр.хода'!O69</f>
        <v>48</v>
      </c>
      <c r="M175" s="419" t="str">
        <f>VLOOKUP(L175,'пр.взв.'!B5:H235,2,FALSE)</f>
        <v>ПЕРЕПЕЛЮК Андрей Александрович</v>
      </c>
      <c r="N175" s="421" t="str">
        <f>VLOOKUP(L175,'пр.взв.'!B5:H235,3,FALSE)</f>
        <v>06.08.85, МСМК</v>
      </c>
      <c r="O175" s="421" t="str">
        <f>VLOOKUP(M175,'пр.взв.'!C5:I235,3,FALSE)</f>
        <v>МОС</v>
      </c>
      <c r="P175" s="421" t="str">
        <f>VLOOKUP(L175,'пр.взв.'!B11:H235,5,FALSE)</f>
        <v>Москва, Д</v>
      </c>
      <c r="Q175" s="444"/>
      <c r="R175" s="444"/>
      <c r="S175" s="283"/>
      <c r="T175" s="283"/>
    </row>
    <row r="176" spans="1:20" ht="13.5" hidden="1" thickBot="1">
      <c r="A176" s="429"/>
      <c r="B176" s="490"/>
      <c r="C176" s="420"/>
      <c r="D176" s="422"/>
      <c r="E176" s="422"/>
      <c r="F176" s="422"/>
      <c r="G176" s="445"/>
      <c r="H176" s="445"/>
      <c r="I176" s="434"/>
      <c r="J176" s="434"/>
      <c r="K176" s="429"/>
      <c r="L176" s="490"/>
      <c r="M176" s="420"/>
      <c r="N176" s="422"/>
      <c r="O176" s="422"/>
      <c r="P176" s="422"/>
      <c r="Q176" s="445"/>
      <c r="R176" s="445"/>
      <c r="S176" s="434"/>
      <c r="T176" s="434"/>
    </row>
    <row r="177" spans="3:13" ht="13.5" thickBot="1">
      <c r="C177" s="50"/>
      <c r="M177" s="50"/>
    </row>
    <row r="178" spans="1:20" ht="12.75">
      <c r="A178" s="492">
        <v>13</v>
      </c>
      <c r="B178" s="487">
        <f>'пр.хода'!P12</f>
        <v>45</v>
      </c>
      <c r="C178" s="432" t="str">
        <f>VLOOKUP(B178,'пр.взв.'!B6:H651,2,FALSE)</f>
        <v>ДЁМИН Антон Александрович</v>
      </c>
      <c r="D178" s="441" t="str">
        <f>VLOOKUP(B178,'пр.взв.'!B6:H238,3,FALSE)</f>
        <v>16.10.89, МС</v>
      </c>
      <c r="E178" s="441" t="str">
        <f>VLOOKUP(C178,'пр.взв.'!C6:I238,3,FALSE)</f>
        <v>ПФО</v>
      </c>
      <c r="F178" s="441" t="str">
        <f>VLOOKUP(B178,'пр.взв.'!B6:H238,5,FALSE)</f>
        <v>Саратовская,Балашов</v>
      </c>
      <c r="G178" s="460"/>
      <c r="H178" s="446"/>
      <c r="I178" s="440"/>
      <c r="J178" s="453"/>
      <c r="K178" s="427">
        <v>14</v>
      </c>
      <c r="L178" s="487">
        <f>'пр.хода'!P61</f>
        <v>46</v>
      </c>
      <c r="M178" s="432" t="str">
        <f>VLOOKUP(L178,'пр.взв.'!B6:H238,2,FALSE)</f>
        <v>МОШЕНКО Никита Валерьевич</v>
      </c>
      <c r="N178" s="441" t="str">
        <f>VLOOKUP(L178,'пр.взв.'!B6:H238,3,FALSE)</f>
        <v>27.12.90, МС</v>
      </c>
      <c r="O178" s="441" t="str">
        <f>VLOOKUP(M178,'пр.взв.'!C6:I238,3,FALSE)</f>
        <v>МОС</v>
      </c>
      <c r="P178" s="441" t="str">
        <f>VLOOKUP(L178,'пр.взв.'!B6:H238,5,FALSE)</f>
        <v>Москва, Д</v>
      </c>
      <c r="Q178" s="460"/>
      <c r="R178" s="446"/>
      <c r="S178" s="440"/>
      <c r="T178" s="495"/>
    </row>
    <row r="179" spans="1:20" ht="12.75">
      <c r="A179" s="493"/>
      <c r="B179" s="488"/>
      <c r="C179" s="433"/>
      <c r="D179" s="424"/>
      <c r="E179" s="424"/>
      <c r="F179" s="424"/>
      <c r="G179" s="424"/>
      <c r="H179" s="424"/>
      <c r="I179" s="320"/>
      <c r="J179" s="285"/>
      <c r="K179" s="428"/>
      <c r="L179" s="488"/>
      <c r="M179" s="433"/>
      <c r="N179" s="424"/>
      <c r="O179" s="424"/>
      <c r="P179" s="424"/>
      <c r="Q179" s="424"/>
      <c r="R179" s="424"/>
      <c r="S179" s="320"/>
      <c r="T179" s="496"/>
    </row>
    <row r="180" spans="1:20" ht="12.75">
      <c r="A180" s="493"/>
      <c r="B180" s="489">
        <f>'пр.хода'!P19</f>
        <v>47</v>
      </c>
      <c r="C180" s="419" t="str">
        <f>VLOOKUP(B180,'пр.взв.'!B6:H653,2,FALSE)</f>
        <v>МОТОРКИН Андрей Владимирович</v>
      </c>
      <c r="D180" s="421" t="str">
        <f>VLOOKUP(B180,'пр.взв.'!B6:H240,3,FALSE)</f>
        <v>19.07.80 мсмк</v>
      </c>
      <c r="E180" s="421" t="str">
        <f>VLOOKUP(C180,'пр.взв.'!C6:I240,3,FALSE)</f>
        <v>ЦФО</v>
      </c>
      <c r="F180" s="421" t="str">
        <f>VLOOKUP(B180,'пр.взв.'!B6:H240,5,FALSE)</f>
        <v>Брянская Брянск Д</v>
      </c>
      <c r="G180" s="444"/>
      <c r="H180" s="444"/>
      <c r="I180" s="283"/>
      <c r="J180" s="283"/>
      <c r="K180" s="428"/>
      <c r="L180" s="489">
        <f>'пр.хода'!P68</f>
        <v>48</v>
      </c>
      <c r="M180" s="419" t="str">
        <f>VLOOKUP(L180,'пр.взв.'!B6:H240,2,FALSE)</f>
        <v>ПЕРЕПЕЛЮК Андрей Александрович</v>
      </c>
      <c r="N180" s="421" t="str">
        <f>VLOOKUP(L180,'пр.взв.'!B6:H240,3,FALSE)</f>
        <v>06.08.85, МСМК</v>
      </c>
      <c r="O180" s="421" t="str">
        <f>VLOOKUP(M180,'пр.взв.'!C6:I240,3,FALSE)</f>
        <v>МОС</v>
      </c>
      <c r="P180" s="421" t="str">
        <f>VLOOKUP(L180,'пр.взв.'!B6:H240,5,FALSE)</f>
        <v>Москва, Д</v>
      </c>
      <c r="Q180" s="444"/>
      <c r="R180" s="444"/>
      <c r="S180" s="283"/>
      <c r="T180" s="497"/>
    </row>
    <row r="181" spans="1:20" ht="13.5" thickBot="1">
      <c r="A181" s="494"/>
      <c r="B181" s="490"/>
      <c r="C181" s="420"/>
      <c r="D181" s="422"/>
      <c r="E181" s="422"/>
      <c r="F181" s="422"/>
      <c r="G181" s="445"/>
      <c r="H181" s="445"/>
      <c r="I181" s="434"/>
      <c r="J181" s="434"/>
      <c r="K181" s="429"/>
      <c r="L181" s="490"/>
      <c r="M181" s="420"/>
      <c r="N181" s="422"/>
      <c r="O181" s="422"/>
      <c r="P181" s="422"/>
      <c r="Q181" s="445"/>
      <c r="R181" s="445"/>
      <c r="S181" s="434"/>
      <c r="T181" s="498"/>
    </row>
  </sheetData>
  <sheetProtection/>
  <mergeCells count="1558">
    <mergeCell ref="E180:E181"/>
    <mergeCell ref="E178:E179"/>
    <mergeCell ref="E162:E163"/>
    <mergeCell ref="E160:E161"/>
    <mergeCell ref="G180:G181"/>
    <mergeCell ref="H180:H181"/>
    <mergeCell ref="H178:H179"/>
    <mergeCell ref="H173:H174"/>
    <mergeCell ref="G171:G172"/>
    <mergeCell ref="H171:H172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34:E135"/>
    <mergeCell ref="E132:E133"/>
    <mergeCell ref="E130:E131"/>
    <mergeCell ref="E149:F150"/>
    <mergeCell ref="O149:P150"/>
    <mergeCell ref="O140:P141"/>
    <mergeCell ref="E140:F141"/>
    <mergeCell ref="N149:N150"/>
    <mergeCell ref="K147:T147"/>
    <mergeCell ref="N144:N145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42:E143"/>
    <mergeCell ref="E136:E137"/>
    <mergeCell ref="E122:E123"/>
    <mergeCell ref="E120:E121"/>
    <mergeCell ref="E118:E119"/>
    <mergeCell ref="E116:E117"/>
    <mergeCell ref="E114:E115"/>
    <mergeCell ref="E112:E113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O118:O119"/>
    <mergeCell ref="O116:O117"/>
    <mergeCell ref="E94:E95"/>
    <mergeCell ref="E92:E93"/>
    <mergeCell ref="E90:E91"/>
    <mergeCell ref="E88:E89"/>
    <mergeCell ref="E86:E87"/>
    <mergeCell ref="E84:E85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30:E31"/>
    <mergeCell ref="O80:O81"/>
    <mergeCell ref="O78:O79"/>
    <mergeCell ref="O76:O77"/>
    <mergeCell ref="O74:O75"/>
    <mergeCell ref="O68:O69"/>
    <mergeCell ref="O66:O67"/>
    <mergeCell ref="O64:O65"/>
    <mergeCell ref="O62:O63"/>
    <mergeCell ref="O60:O61"/>
    <mergeCell ref="E42:E43"/>
    <mergeCell ref="E40:E41"/>
    <mergeCell ref="E38:E39"/>
    <mergeCell ref="E36:E37"/>
    <mergeCell ref="E34:E35"/>
    <mergeCell ref="E32:E33"/>
    <mergeCell ref="O40:O41"/>
    <mergeCell ref="O38:O39"/>
    <mergeCell ref="O36:O37"/>
    <mergeCell ref="O34:O35"/>
    <mergeCell ref="O32:O33"/>
    <mergeCell ref="O30:O31"/>
    <mergeCell ref="O56:O57"/>
    <mergeCell ref="O54:O55"/>
    <mergeCell ref="O52:O53"/>
    <mergeCell ref="O50:O51"/>
    <mergeCell ref="O48:O49"/>
    <mergeCell ref="O46:O47"/>
    <mergeCell ref="E14:E15"/>
    <mergeCell ref="E12:E13"/>
    <mergeCell ref="E10:E11"/>
    <mergeCell ref="E8:E9"/>
    <mergeCell ref="E6:E7"/>
    <mergeCell ref="E56:E57"/>
    <mergeCell ref="E54:E55"/>
    <mergeCell ref="E52:E53"/>
    <mergeCell ref="E50:E51"/>
    <mergeCell ref="E48:E49"/>
    <mergeCell ref="O10:O1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O26:O27"/>
    <mergeCell ref="O24:O25"/>
    <mergeCell ref="O22:O23"/>
    <mergeCell ref="O20:O21"/>
    <mergeCell ref="O18:O19"/>
    <mergeCell ref="O16:O17"/>
    <mergeCell ref="S180:S181"/>
    <mergeCell ref="T180:T181"/>
    <mergeCell ref="N180:N181"/>
    <mergeCell ref="P180:P181"/>
    <mergeCell ref="Q180:Q181"/>
    <mergeCell ref="R180:R181"/>
    <mergeCell ref="O180:O181"/>
    <mergeCell ref="N178:N179"/>
    <mergeCell ref="P178:P179"/>
    <mergeCell ref="Q178:Q179"/>
    <mergeCell ref="R178:R179"/>
    <mergeCell ref="S178:S179"/>
    <mergeCell ref="T178:T179"/>
    <mergeCell ref="O178:O179"/>
    <mergeCell ref="I178:I179"/>
    <mergeCell ref="J178:J179"/>
    <mergeCell ref="K178:K181"/>
    <mergeCell ref="L178:L179"/>
    <mergeCell ref="M178:M179"/>
    <mergeCell ref="L180:L181"/>
    <mergeCell ref="M180:M181"/>
    <mergeCell ref="I180:I181"/>
    <mergeCell ref="J180:J181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1:I172"/>
    <mergeCell ref="J171:J172"/>
    <mergeCell ref="N171:N172"/>
    <mergeCell ref="P171:P172"/>
    <mergeCell ref="O171:O172"/>
    <mergeCell ref="N169:N170"/>
    <mergeCell ref="P169:P170"/>
    <mergeCell ref="M169:M170"/>
    <mergeCell ref="L171:L172"/>
    <mergeCell ref="M171:M172"/>
    <mergeCell ref="Q169:Q170"/>
    <mergeCell ref="R169:R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N166:N167"/>
    <mergeCell ref="P166:P167"/>
    <mergeCell ref="Q166:Q167"/>
    <mergeCell ref="R166:R167"/>
    <mergeCell ref="S166:S167"/>
    <mergeCell ref="T166:T167"/>
    <mergeCell ref="O166:O167"/>
    <mergeCell ref="B166:B167"/>
    <mergeCell ref="C166:C167"/>
    <mergeCell ref="D166:D167"/>
    <mergeCell ref="F166:F167"/>
    <mergeCell ref="G166:G167"/>
    <mergeCell ref="H166:H167"/>
    <mergeCell ref="N164:N165"/>
    <mergeCell ref="P164:P165"/>
    <mergeCell ref="Q164:Q165"/>
    <mergeCell ref="R164:R165"/>
    <mergeCell ref="S164:S165"/>
    <mergeCell ref="T164:T165"/>
    <mergeCell ref="O164:O165"/>
    <mergeCell ref="H164:H165"/>
    <mergeCell ref="I164:I165"/>
    <mergeCell ref="J164:J165"/>
    <mergeCell ref="K164:K167"/>
    <mergeCell ref="L164:L165"/>
    <mergeCell ref="M164:M165"/>
    <mergeCell ref="L166:L167"/>
    <mergeCell ref="M166:M167"/>
    <mergeCell ref="I166:I167"/>
    <mergeCell ref="J166:J167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G162:G163"/>
    <mergeCell ref="H162:H163"/>
    <mergeCell ref="I162:I163"/>
    <mergeCell ref="J162:J163"/>
    <mergeCell ref="N162:N163"/>
    <mergeCell ref="P162:P163"/>
    <mergeCell ref="O162:O163"/>
    <mergeCell ref="N160:N161"/>
    <mergeCell ref="P160:P161"/>
    <mergeCell ref="Q160:Q161"/>
    <mergeCell ref="R160:R161"/>
    <mergeCell ref="S160:S161"/>
    <mergeCell ref="T160:T161"/>
    <mergeCell ref="O160:O161"/>
    <mergeCell ref="H160:H161"/>
    <mergeCell ref="I160:I161"/>
    <mergeCell ref="J160:J161"/>
    <mergeCell ref="K160:K163"/>
    <mergeCell ref="L160:L161"/>
    <mergeCell ref="M160:M161"/>
    <mergeCell ref="L162:L163"/>
    <mergeCell ref="M162:M163"/>
    <mergeCell ref="A160:A163"/>
    <mergeCell ref="B160:B161"/>
    <mergeCell ref="C160:C161"/>
    <mergeCell ref="D160:D161"/>
    <mergeCell ref="F160:F161"/>
    <mergeCell ref="G160:G161"/>
    <mergeCell ref="B162:B163"/>
    <mergeCell ref="C162:C163"/>
    <mergeCell ref="D162:D163"/>
    <mergeCell ref="F162:F163"/>
    <mergeCell ref="N157:N158"/>
    <mergeCell ref="P157:P158"/>
    <mergeCell ref="Q157:Q158"/>
    <mergeCell ref="R157:R158"/>
    <mergeCell ref="S157:S158"/>
    <mergeCell ref="T157:T158"/>
    <mergeCell ref="O157:O158"/>
    <mergeCell ref="B157:B158"/>
    <mergeCell ref="C157:C158"/>
    <mergeCell ref="D157:D158"/>
    <mergeCell ref="F157:F158"/>
    <mergeCell ref="G157:G158"/>
    <mergeCell ref="H157:H158"/>
    <mergeCell ref="E157:E158"/>
    <mergeCell ref="N155:N156"/>
    <mergeCell ref="P155:P156"/>
    <mergeCell ref="Q155:Q156"/>
    <mergeCell ref="R155:R156"/>
    <mergeCell ref="S155:S156"/>
    <mergeCell ref="T155:T156"/>
    <mergeCell ref="O155:O156"/>
    <mergeCell ref="I155:I156"/>
    <mergeCell ref="J155:J156"/>
    <mergeCell ref="K155:K158"/>
    <mergeCell ref="L155:L156"/>
    <mergeCell ref="M155:M156"/>
    <mergeCell ref="L157:L158"/>
    <mergeCell ref="M157:M158"/>
    <mergeCell ref="I157:I158"/>
    <mergeCell ref="J157:J158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R151:R152"/>
    <mergeCell ref="S151:S152"/>
    <mergeCell ref="T151:T152"/>
    <mergeCell ref="O151:O152"/>
    <mergeCell ref="G153:G154"/>
    <mergeCell ref="H153:H154"/>
    <mergeCell ref="I153:I154"/>
    <mergeCell ref="J153:J154"/>
    <mergeCell ref="N153:N154"/>
    <mergeCell ref="P153:P154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F153:F154"/>
    <mergeCell ref="H151:H152"/>
    <mergeCell ref="I151:I152"/>
    <mergeCell ref="J151:J152"/>
    <mergeCell ref="K151:K154"/>
    <mergeCell ref="L151:L152"/>
    <mergeCell ref="M149:M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A147:J147"/>
    <mergeCell ref="Q149:Q150"/>
    <mergeCell ref="R149:R150"/>
    <mergeCell ref="S149:S150"/>
    <mergeCell ref="T149:T150"/>
    <mergeCell ref="H149:H150"/>
    <mergeCell ref="I149:I150"/>
    <mergeCell ref="J149:J150"/>
    <mergeCell ref="K149:K150"/>
    <mergeCell ref="L149:L150"/>
    <mergeCell ref="R144:R145"/>
    <mergeCell ref="G144:G145"/>
    <mergeCell ref="H144:H145"/>
    <mergeCell ref="I144:I145"/>
    <mergeCell ref="J144:J145"/>
    <mergeCell ref="A149:A150"/>
    <mergeCell ref="B149:B150"/>
    <mergeCell ref="C149:C150"/>
    <mergeCell ref="D149:D150"/>
    <mergeCell ref="G149:G150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A142:A145"/>
    <mergeCell ref="B142:B143"/>
    <mergeCell ref="C142:C143"/>
    <mergeCell ref="D142:D143"/>
    <mergeCell ref="F142:F143"/>
    <mergeCell ref="G142:G143"/>
    <mergeCell ref="B144:B145"/>
    <mergeCell ref="C144:C145"/>
    <mergeCell ref="D144:D145"/>
    <mergeCell ref="F144:F145"/>
    <mergeCell ref="N140:N141"/>
    <mergeCell ref="Q140:Q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M140:M141"/>
    <mergeCell ref="A140:A141"/>
    <mergeCell ref="B140:B141"/>
    <mergeCell ref="C140:C141"/>
    <mergeCell ref="D140:D141"/>
    <mergeCell ref="G140:G141"/>
    <mergeCell ref="N136:N137"/>
    <mergeCell ref="P136:P137"/>
    <mergeCell ref="Q136:Q137"/>
    <mergeCell ref="R136:R137"/>
    <mergeCell ref="S136:S137"/>
    <mergeCell ref="T136:T137"/>
    <mergeCell ref="B136:B137"/>
    <mergeCell ref="C136:C137"/>
    <mergeCell ref="D136:D137"/>
    <mergeCell ref="F136:F137"/>
    <mergeCell ref="G136:G137"/>
    <mergeCell ref="H136:H137"/>
    <mergeCell ref="N134:N135"/>
    <mergeCell ref="P134:P135"/>
    <mergeCell ref="Q134:Q135"/>
    <mergeCell ref="R134:R135"/>
    <mergeCell ref="S134:S135"/>
    <mergeCell ref="T134:T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I136:I137"/>
    <mergeCell ref="J136:J137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G132:G133"/>
    <mergeCell ref="H132:H133"/>
    <mergeCell ref="I132:I133"/>
    <mergeCell ref="J132:J133"/>
    <mergeCell ref="N132:N133"/>
    <mergeCell ref="P132:P133"/>
    <mergeCell ref="N130:N131"/>
    <mergeCell ref="P130:P131"/>
    <mergeCell ref="Q130:Q131"/>
    <mergeCell ref="R130:R131"/>
    <mergeCell ref="S130:S131"/>
    <mergeCell ref="T130:T131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A130:A133"/>
    <mergeCell ref="B130:B131"/>
    <mergeCell ref="C130:C131"/>
    <mergeCell ref="D130:D131"/>
    <mergeCell ref="F130:F131"/>
    <mergeCell ref="G130:G131"/>
    <mergeCell ref="B132:B133"/>
    <mergeCell ref="C132:C133"/>
    <mergeCell ref="D132:D133"/>
    <mergeCell ref="F132:F133"/>
    <mergeCell ref="N128:N129"/>
    <mergeCell ref="Q128:Q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M128:M129"/>
    <mergeCell ref="A128:A129"/>
    <mergeCell ref="B128:B129"/>
    <mergeCell ref="C128:C129"/>
    <mergeCell ref="D128:D129"/>
    <mergeCell ref="G128:G129"/>
    <mergeCell ref="N124:N125"/>
    <mergeCell ref="P124:P125"/>
    <mergeCell ref="Q124:Q125"/>
    <mergeCell ref="R124:R125"/>
    <mergeCell ref="S124:S125"/>
    <mergeCell ref="T124:T125"/>
    <mergeCell ref="B124:B125"/>
    <mergeCell ref="C124:C125"/>
    <mergeCell ref="D124:D125"/>
    <mergeCell ref="F124:F125"/>
    <mergeCell ref="G124:G125"/>
    <mergeCell ref="H124:H125"/>
    <mergeCell ref="E124:E125"/>
    <mergeCell ref="N122:N123"/>
    <mergeCell ref="P122:P123"/>
    <mergeCell ref="Q122:Q123"/>
    <mergeCell ref="R122:R123"/>
    <mergeCell ref="S122:S123"/>
    <mergeCell ref="T122:T123"/>
    <mergeCell ref="H122:H123"/>
    <mergeCell ref="I122:I123"/>
    <mergeCell ref="J122:J123"/>
    <mergeCell ref="K122:K125"/>
    <mergeCell ref="L122:L123"/>
    <mergeCell ref="M122:M123"/>
    <mergeCell ref="L124:L125"/>
    <mergeCell ref="M124:M125"/>
    <mergeCell ref="I124:I125"/>
    <mergeCell ref="J124:J125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G120:G121"/>
    <mergeCell ref="H120:H121"/>
    <mergeCell ref="I120:I121"/>
    <mergeCell ref="J120:J121"/>
    <mergeCell ref="N120:N121"/>
    <mergeCell ref="P120:P121"/>
    <mergeCell ref="N118:N119"/>
    <mergeCell ref="P118:P119"/>
    <mergeCell ref="Q118:Q119"/>
    <mergeCell ref="R118:R119"/>
    <mergeCell ref="S118:S119"/>
    <mergeCell ref="T118:T119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N116:N117"/>
    <mergeCell ref="P116:P117"/>
    <mergeCell ref="Q116:Q117"/>
    <mergeCell ref="R116:R117"/>
    <mergeCell ref="S116:S117"/>
    <mergeCell ref="T116:T117"/>
    <mergeCell ref="B116:B117"/>
    <mergeCell ref="C116:C117"/>
    <mergeCell ref="D116:D117"/>
    <mergeCell ref="F116:F117"/>
    <mergeCell ref="G116:G117"/>
    <mergeCell ref="H116:H117"/>
    <mergeCell ref="N114:N115"/>
    <mergeCell ref="P114:P115"/>
    <mergeCell ref="Q114:Q115"/>
    <mergeCell ref="R114:R115"/>
    <mergeCell ref="S114:S115"/>
    <mergeCell ref="T114:T115"/>
    <mergeCell ref="O114:O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I116:I117"/>
    <mergeCell ref="J116:J117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F114:F115"/>
    <mergeCell ref="G114:G115"/>
    <mergeCell ref="G112:G113"/>
    <mergeCell ref="H112:H113"/>
    <mergeCell ref="I112:I113"/>
    <mergeCell ref="J112:J113"/>
    <mergeCell ref="N112:N113"/>
    <mergeCell ref="P112:P113"/>
    <mergeCell ref="O112:O113"/>
    <mergeCell ref="N110:N111"/>
    <mergeCell ref="P110:P111"/>
    <mergeCell ref="Q110:Q111"/>
    <mergeCell ref="R110:R111"/>
    <mergeCell ref="S110:S111"/>
    <mergeCell ref="T110:T111"/>
    <mergeCell ref="O110:O111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N108:N109"/>
    <mergeCell ref="Q108:Q109"/>
    <mergeCell ref="R108:R109"/>
    <mergeCell ref="S108:S109"/>
    <mergeCell ref="T108:T109"/>
    <mergeCell ref="H108:H109"/>
    <mergeCell ref="I108:I109"/>
    <mergeCell ref="J108:J109"/>
    <mergeCell ref="K108:K109"/>
    <mergeCell ref="L108:L109"/>
    <mergeCell ref="M108:M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G4:G5"/>
    <mergeCell ref="H4:H5"/>
    <mergeCell ref="I4:I5"/>
    <mergeCell ref="A4:A5"/>
    <mergeCell ref="B4:B5"/>
    <mergeCell ref="C4:C5"/>
    <mergeCell ref="D4:D5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I8:I9"/>
    <mergeCell ref="J8:J9"/>
    <mergeCell ref="N6:N7"/>
    <mergeCell ref="P6:P7"/>
    <mergeCell ref="Q6:Q7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H8:H9"/>
    <mergeCell ref="N8:N9"/>
    <mergeCell ref="P8:P9"/>
    <mergeCell ref="Q8:Q9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Q12:Q13"/>
    <mergeCell ref="R12:R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I12:I13"/>
    <mergeCell ref="J12:J13"/>
    <mergeCell ref="H14:H15"/>
    <mergeCell ref="I14:I15"/>
    <mergeCell ref="N12:N13"/>
    <mergeCell ref="P12:P13"/>
    <mergeCell ref="L12:L13"/>
    <mergeCell ref="M12:M13"/>
    <mergeCell ref="O12:O13"/>
    <mergeCell ref="O14:O15"/>
    <mergeCell ref="S12:S13"/>
    <mergeCell ref="T12:T13"/>
    <mergeCell ref="S14:S15"/>
    <mergeCell ref="T14:T15"/>
    <mergeCell ref="S16:S17"/>
    <mergeCell ref="T16:T17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G16:G17"/>
    <mergeCell ref="H16:H17"/>
    <mergeCell ref="N16:N17"/>
    <mergeCell ref="P16:P17"/>
    <mergeCell ref="Q16:Q17"/>
    <mergeCell ref="R16:R17"/>
    <mergeCell ref="I16:I17"/>
    <mergeCell ref="J16:J17"/>
    <mergeCell ref="A18:A21"/>
    <mergeCell ref="B18:B19"/>
    <mergeCell ref="C18:C19"/>
    <mergeCell ref="D18:D19"/>
    <mergeCell ref="F18:F19"/>
    <mergeCell ref="G18:G19"/>
    <mergeCell ref="N18:N19"/>
    <mergeCell ref="P18:P19"/>
    <mergeCell ref="Q18:Q19"/>
    <mergeCell ref="R18:R19"/>
    <mergeCell ref="J18:J19"/>
    <mergeCell ref="K18:K21"/>
    <mergeCell ref="L18:L19"/>
    <mergeCell ref="M18:M19"/>
    <mergeCell ref="Q20:Q21"/>
    <mergeCell ref="R20:R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I20:I21"/>
    <mergeCell ref="J20:J21"/>
    <mergeCell ref="H22:H23"/>
    <mergeCell ref="I22:I23"/>
    <mergeCell ref="N20:N21"/>
    <mergeCell ref="P20:P21"/>
    <mergeCell ref="L20:L21"/>
    <mergeCell ref="M20:M21"/>
    <mergeCell ref="S20:S21"/>
    <mergeCell ref="T20:T21"/>
    <mergeCell ref="S22:S23"/>
    <mergeCell ref="T22:T23"/>
    <mergeCell ref="S24:S25"/>
    <mergeCell ref="T24:T25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Q22:Q23"/>
    <mergeCell ref="R22:R23"/>
    <mergeCell ref="J22:J23"/>
    <mergeCell ref="K22:K25"/>
    <mergeCell ref="L22:L23"/>
    <mergeCell ref="M22:M23"/>
    <mergeCell ref="L24:L25"/>
    <mergeCell ref="M24:M25"/>
    <mergeCell ref="N22:N23"/>
    <mergeCell ref="P22:P23"/>
    <mergeCell ref="G24:G25"/>
    <mergeCell ref="H24:H25"/>
    <mergeCell ref="N24:N25"/>
    <mergeCell ref="P24:P25"/>
    <mergeCell ref="Q24:Q25"/>
    <mergeCell ref="R24:R25"/>
    <mergeCell ref="I24:I25"/>
    <mergeCell ref="J24:J25"/>
    <mergeCell ref="A26:A29"/>
    <mergeCell ref="B26:B27"/>
    <mergeCell ref="C26:C27"/>
    <mergeCell ref="D26:D27"/>
    <mergeCell ref="F26:F27"/>
    <mergeCell ref="G26:G27"/>
    <mergeCell ref="N26:N27"/>
    <mergeCell ref="P26:P27"/>
    <mergeCell ref="Q26:Q27"/>
    <mergeCell ref="R26:R27"/>
    <mergeCell ref="J26:J27"/>
    <mergeCell ref="K26:K29"/>
    <mergeCell ref="L26:L27"/>
    <mergeCell ref="M26:M27"/>
    <mergeCell ref="Q28:Q29"/>
    <mergeCell ref="R28:R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I28:I29"/>
    <mergeCell ref="J28:J29"/>
    <mergeCell ref="H30:H31"/>
    <mergeCell ref="I30:I31"/>
    <mergeCell ref="N28:N29"/>
    <mergeCell ref="P28:P29"/>
    <mergeCell ref="L28:L29"/>
    <mergeCell ref="M28:M29"/>
    <mergeCell ref="O28:O29"/>
    <mergeCell ref="S28:S29"/>
    <mergeCell ref="T28:T29"/>
    <mergeCell ref="S30:S31"/>
    <mergeCell ref="T30:T31"/>
    <mergeCell ref="S32:S33"/>
    <mergeCell ref="T32:T33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G32:G33"/>
    <mergeCell ref="H32:H33"/>
    <mergeCell ref="N32:N33"/>
    <mergeCell ref="P32:P33"/>
    <mergeCell ref="Q32:Q33"/>
    <mergeCell ref="R32:R33"/>
    <mergeCell ref="I32:I33"/>
    <mergeCell ref="J32:J33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J34:J35"/>
    <mergeCell ref="K34:K37"/>
    <mergeCell ref="L34:L35"/>
    <mergeCell ref="M34:M35"/>
    <mergeCell ref="L36:L37"/>
    <mergeCell ref="M36:M37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M44:M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4:I45"/>
    <mergeCell ref="J44:J45"/>
    <mergeCell ref="N42:N43"/>
    <mergeCell ref="P42:P43"/>
    <mergeCell ref="Q42:Q43"/>
    <mergeCell ref="R42:R43"/>
    <mergeCell ref="K42:K45"/>
    <mergeCell ref="L42:L43"/>
    <mergeCell ref="M42:M43"/>
    <mergeCell ref="L44:L45"/>
    <mergeCell ref="B44:B45"/>
    <mergeCell ref="C44:C45"/>
    <mergeCell ref="D44:D45"/>
    <mergeCell ref="F44:F45"/>
    <mergeCell ref="G44:G45"/>
    <mergeCell ref="H44:H45"/>
    <mergeCell ref="E44:E45"/>
    <mergeCell ref="N44:N45"/>
    <mergeCell ref="P44:P45"/>
    <mergeCell ref="Q44:Q45"/>
    <mergeCell ref="R44:R45"/>
    <mergeCell ref="S42:S43"/>
    <mergeCell ref="T42:T43"/>
    <mergeCell ref="S44:S45"/>
    <mergeCell ref="T44:T45"/>
    <mergeCell ref="O44:O45"/>
    <mergeCell ref="O42:O43"/>
    <mergeCell ref="A46:A49"/>
    <mergeCell ref="B46:B47"/>
    <mergeCell ref="C46:C47"/>
    <mergeCell ref="D46:D47"/>
    <mergeCell ref="F46:F47"/>
    <mergeCell ref="G46:G47"/>
    <mergeCell ref="E46:E47"/>
    <mergeCell ref="N46:N47"/>
    <mergeCell ref="P46:P47"/>
    <mergeCell ref="Q46:Q47"/>
    <mergeCell ref="R46:R47"/>
    <mergeCell ref="J46:J47"/>
    <mergeCell ref="K46:K49"/>
    <mergeCell ref="L46:L47"/>
    <mergeCell ref="M46:M47"/>
    <mergeCell ref="Q48:Q49"/>
    <mergeCell ref="R48:R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I48:I49"/>
    <mergeCell ref="J48:J49"/>
    <mergeCell ref="H50:H51"/>
    <mergeCell ref="I50:I51"/>
    <mergeCell ref="N48:N49"/>
    <mergeCell ref="P48:P49"/>
    <mergeCell ref="L48:L49"/>
    <mergeCell ref="M48:M49"/>
    <mergeCell ref="S48:S49"/>
    <mergeCell ref="T48:T49"/>
    <mergeCell ref="S50:S51"/>
    <mergeCell ref="T50:T51"/>
    <mergeCell ref="S52:S53"/>
    <mergeCell ref="T52:T53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G52:G53"/>
    <mergeCell ref="H52:H53"/>
    <mergeCell ref="N52:N53"/>
    <mergeCell ref="P52:P53"/>
    <mergeCell ref="Q52:Q53"/>
    <mergeCell ref="R52:R53"/>
    <mergeCell ref="I52:I53"/>
    <mergeCell ref="J52:J53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J54:J55"/>
    <mergeCell ref="K54:K57"/>
    <mergeCell ref="L54:L55"/>
    <mergeCell ref="M54:M55"/>
    <mergeCell ref="L56:L57"/>
    <mergeCell ref="M56:M57"/>
    <mergeCell ref="G56:G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B60:B61"/>
    <mergeCell ref="C60:C61"/>
    <mergeCell ref="D60:D61"/>
    <mergeCell ref="F60:F61"/>
    <mergeCell ref="G60:G61"/>
    <mergeCell ref="H60:H61"/>
    <mergeCell ref="J62:J63"/>
    <mergeCell ref="P60:P61"/>
    <mergeCell ref="Q60:Q61"/>
    <mergeCell ref="R60:R61"/>
    <mergeCell ref="S60:S61"/>
    <mergeCell ref="T56:T57"/>
    <mergeCell ref="L58:L59"/>
    <mergeCell ref="M58:M59"/>
    <mergeCell ref="J60:J61"/>
    <mergeCell ref="L60:L61"/>
    <mergeCell ref="M64:M65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I64:I65"/>
    <mergeCell ref="J64:J65"/>
    <mergeCell ref="N62:N63"/>
    <mergeCell ref="P62:P63"/>
    <mergeCell ref="Q62:Q63"/>
    <mergeCell ref="R62:R63"/>
    <mergeCell ref="K62:K65"/>
    <mergeCell ref="L62:L63"/>
    <mergeCell ref="M62:M63"/>
    <mergeCell ref="L64:L65"/>
    <mergeCell ref="B64:B65"/>
    <mergeCell ref="C64:C65"/>
    <mergeCell ref="D64:D65"/>
    <mergeCell ref="F64:F65"/>
    <mergeCell ref="G64:G65"/>
    <mergeCell ref="H64:H65"/>
    <mergeCell ref="N64:N65"/>
    <mergeCell ref="P64:P65"/>
    <mergeCell ref="Q64:Q65"/>
    <mergeCell ref="R64:R65"/>
    <mergeCell ref="S62:S63"/>
    <mergeCell ref="T62:T63"/>
    <mergeCell ref="S64:S65"/>
    <mergeCell ref="T64:T65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Q72:Q73"/>
    <mergeCell ref="R72:R73"/>
    <mergeCell ref="J72:J73"/>
    <mergeCell ref="K72:K73"/>
    <mergeCell ref="L72:L73"/>
    <mergeCell ref="M72:M73"/>
    <mergeCell ref="L76:L77"/>
    <mergeCell ref="M76:M77"/>
    <mergeCell ref="J78:J79"/>
    <mergeCell ref="N72:N73"/>
    <mergeCell ref="N76:N77"/>
    <mergeCell ref="L74:L75"/>
    <mergeCell ref="M74:M75"/>
    <mergeCell ref="N74:N75"/>
    <mergeCell ref="R76:R77"/>
    <mergeCell ref="P78:P79"/>
    <mergeCell ref="Q78:Q79"/>
    <mergeCell ref="R74:R75"/>
    <mergeCell ref="Q74:Q75"/>
    <mergeCell ref="P76:P77"/>
    <mergeCell ref="Q76:Q77"/>
    <mergeCell ref="P74:P75"/>
    <mergeCell ref="M82:M83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J84:J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P86:P87"/>
    <mergeCell ref="Q86:Q87"/>
    <mergeCell ref="R86:R87"/>
    <mergeCell ref="S84:S85"/>
    <mergeCell ref="P84:P85"/>
    <mergeCell ref="Q84:Q85"/>
    <mergeCell ref="R84:R85"/>
    <mergeCell ref="S86:S87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N88:N89"/>
    <mergeCell ref="P88:P89"/>
    <mergeCell ref="Q88:Q89"/>
    <mergeCell ref="R88:R89"/>
    <mergeCell ref="L88:L89"/>
    <mergeCell ref="M88:M89"/>
    <mergeCell ref="S88:S89"/>
    <mergeCell ref="T88:T89"/>
    <mergeCell ref="B90:B91"/>
    <mergeCell ref="C90:C91"/>
    <mergeCell ref="D90:D91"/>
    <mergeCell ref="F90:F91"/>
    <mergeCell ref="G90:G91"/>
    <mergeCell ref="H90:H91"/>
    <mergeCell ref="I90:I91"/>
    <mergeCell ref="J90:J91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N92:N93"/>
    <mergeCell ref="P92:P93"/>
    <mergeCell ref="Q92:Q93"/>
    <mergeCell ref="R92:R93"/>
    <mergeCell ref="L92:L93"/>
    <mergeCell ref="M92:M93"/>
    <mergeCell ref="Q96:Q97"/>
    <mergeCell ref="R96:R97"/>
    <mergeCell ref="K94:K97"/>
    <mergeCell ref="L94:L95"/>
    <mergeCell ref="M94:M95"/>
    <mergeCell ref="L96:L97"/>
    <mergeCell ref="N94:N95"/>
    <mergeCell ref="P94:P95"/>
    <mergeCell ref="Q94:Q95"/>
    <mergeCell ref="R94:R9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A102:A105"/>
    <mergeCell ref="B102:B103"/>
    <mergeCell ref="C102:C103"/>
    <mergeCell ref="D102:D103"/>
    <mergeCell ref="B104:B105"/>
    <mergeCell ref="C104:C105"/>
    <mergeCell ref="D104:D105"/>
    <mergeCell ref="G104:G105"/>
    <mergeCell ref="H104:H105"/>
    <mergeCell ref="I104:I105"/>
    <mergeCell ref="J104:J105"/>
    <mergeCell ref="Q102:Q103"/>
    <mergeCell ref="R102:R103"/>
    <mergeCell ref="N102:N103"/>
    <mergeCell ref="P102:P103"/>
    <mergeCell ref="M102:M103"/>
    <mergeCell ref="N104:N105"/>
    <mergeCell ref="P104:P105"/>
    <mergeCell ref="Q104:Q105"/>
    <mergeCell ref="L104:L105"/>
    <mergeCell ref="M104:M105"/>
    <mergeCell ref="N100:N101"/>
    <mergeCell ref="P100:P101"/>
    <mergeCell ref="N96:N97"/>
    <mergeCell ref="P96:P97"/>
    <mergeCell ref="A38:A41"/>
    <mergeCell ref="B38:B39"/>
    <mergeCell ref="C38:C39"/>
    <mergeCell ref="D38:D39"/>
    <mergeCell ref="F38:F39"/>
    <mergeCell ref="G38:G39"/>
    <mergeCell ref="B40:B41"/>
    <mergeCell ref="C40:C41"/>
    <mergeCell ref="D40:D41"/>
    <mergeCell ref="F40:F41"/>
    <mergeCell ref="J38:J39"/>
    <mergeCell ref="K38:K41"/>
    <mergeCell ref="L38:L39"/>
    <mergeCell ref="R104:R105"/>
    <mergeCell ref="I58:I59"/>
    <mergeCell ref="N38:N39"/>
    <mergeCell ref="P38:P39"/>
    <mergeCell ref="Q38:Q39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J40:J41"/>
    <mergeCell ref="L40:L41"/>
    <mergeCell ref="M40:M41"/>
    <mergeCell ref="I38:I39"/>
    <mergeCell ref="M60:M61"/>
    <mergeCell ref="S38:S39"/>
    <mergeCell ref="Q58:Q59"/>
    <mergeCell ref="R58:R59"/>
    <mergeCell ref="J58:J59"/>
    <mergeCell ref="K58:K61"/>
    <mergeCell ref="T38:T39"/>
    <mergeCell ref="A58:A61"/>
    <mergeCell ref="B58:B59"/>
    <mergeCell ref="C58:C59"/>
    <mergeCell ref="D58:D59"/>
    <mergeCell ref="F58:F59"/>
    <mergeCell ref="G58:G59"/>
    <mergeCell ref="H58:H59"/>
    <mergeCell ref="N58:N59"/>
    <mergeCell ref="P58:P59"/>
    <mergeCell ref="T58:T59"/>
    <mergeCell ref="A72:A73"/>
    <mergeCell ref="B72:B73"/>
    <mergeCell ref="C72:C73"/>
    <mergeCell ref="D72:D73"/>
    <mergeCell ref="G72:G73"/>
    <mergeCell ref="H72:H73"/>
    <mergeCell ref="I72:I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8:A81"/>
    <mergeCell ref="B78:B79"/>
    <mergeCell ref="C78:C79"/>
    <mergeCell ref="D78:D79"/>
    <mergeCell ref="F78:F79"/>
    <mergeCell ref="G78:G79"/>
    <mergeCell ref="H78:H79"/>
    <mergeCell ref="I78:I79"/>
    <mergeCell ref="S78:S79"/>
    <mergeCell ref="T78:T79"/>
    <mergeCell ref="B80:B81"/>
    <mergeCell ref="C80:C81"/>
    <mergeCell ref="D80:D81"/>
    <mergeCell ref="F80:F81"/>
    <mergeCell ref="G80:G81"/>
    <mergeCell ref="H80:H81"/>
    <mergeCell ref="I80:I81"/>
    <mergeCell ref="K78:K81"/>
    <mergeCell ref="L80:L81"/>
    <mergeCell ref="M80:M81"/>
    <mergeCell ref="N80:N81"/>
    <mergeCell ref="R78:R79"/>
    <mergeCell ref="L78:L79"/>
    <mergeCell ref="M78:M79"/>
    <mergeCell ref="N78:N79"/>
    <mergeCell ref="T80:T81"/>
    <mergeCell ref="A82:A85"/>
    <mergeCell ref="K82:K85"/>
    <mergeCell ref="A86:A89"/>
    <mergeCell ref="K86:K89"/>
    <mergeCell ref="P80:P81"/>
    <mergeCell ref="Q80:Q81"/>
    <mergeCell ref="R80:R81"/>
    <mergeCell ref="S80:S81"/>
    <mergeCell ref="J80:J81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J98:J99"/>
    <mergeCell ref="K98:K101"/>
    <mergeCell ref="L98:L99"/>
    <mergeCell ref="M98:M99"/>
    <mergeCell ref="L100:L101"/>
    <mergeCell ref="M100:M101"/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9">
      <selection activeCell="A1" sqref="A1:I26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510" t="str">
        <f>'[2]реквизиты'!$A$2</f>
        <v>Чемпионат России по  САМБО среди мужчин.</v>
      </c>
      <c r="B1" s="510"/>
      <c r="C1" s="510"/>
      <c r="D1" s="510"/>
      <c r="E1" s="510"/>
      <c r="F1" s="510"/>
      <c r="G1" s="510"/>
      <c r="H1" s="510"/>
      <c r="I1" s="510"/>
    </row>
    <row r="2" spans="4:5" ht="12.75" customHeight="1">
      <c r="D2" s="98"/>
      <c r="E2" s="99" t="str">
        <f>'пр.взв.'!D4</f>
        <v>в.к. 82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85" t="s">
        <v>12</v>
      </c>
      <c r="B5" s="285" t="s">
        <v>3</v>
      </c>
      <c r="C5" s="284" t="s">
        <v>4</v>
      </c>
      <c r="D5" s="285" t="s">
        <v>13</v>
      </c>
      <c r="E5" s="511" t="s">
        <v>14</v>
      </c>
      <c r="F5" s="512"/>
      <c r="G5" s="285" t="s">
        <v>15</v>
      </c>
      <c r="H5" s="285" t="s">
        <v>16</v>
      </c>
      <c r="I5" s="285" t="s">
        <v>17</v>
      </c>
    </row>
    <row r="6" spans="1:9" ht="12.75">
      <c r="A6" s="283"/>
      <c r="B6" s="283"/>
      <c r="C6" s="283"/>
      <c r="D6" s="283"/>
      <c r="E6" s="513"/>
      <c r="F6" s="514"/>
      <c r="G6" s="283"/>
      <c r="H6" s="283"/>
      <c r="I6" s="283"/>
    </row>
    <row r="7" spans="1:9" ht="12.75">
      <c r="A7" s="509"/>
      <c r="B7" s="421">
        <f>'пр.хода'!Q15</f>
        <v>45</v>
      </c>
      <c r="C7" s="508" t="str">
        <f>VLOOKUP(B7,'пр.взв.'!B7:H134,2,FALSE)</f>
        <v>ДЁМИН Антон Александрович</v>
      </c>
      <c r="D7" s="508" t="str">
        <f>VLOOKUP(B7,'пр.взв.'!B7:H134,3,FALSE)</f>
        <v>16.10.89, МС</v>
      </c>
      <c r="E7" s="501" t="str">
        <f>VLOOKUP(B7,'пр.взв.'!B7:H134,4,FALSE)</f>
        <v>ПФО</v>
      </c>
      <c r="F7" s="503" t="str">
        <f>VLOOKUP(B7,'пр.взв.'!B7:H134,5,FALSE)</f>
        <v>Саратовская,Балашов</v>
      </c>
      <c r="G7" s="506"/>
      <c r="H7" s="320"/>
      <c r="I7" s="285"/>
    </row>
    <row r="8" spans="1:9" ht="12.75">
      <c r="A8" s="509"/>
      <c r="B8" s="285"/>
      <c r="C8" s="508"/>
      <c r="D8" s="508"/>
      <c r="E8" s="515"/>
      <c r="F8" s="505"/>
      <c r="G8" s="506"/>
      <c r="H8" s="320"/>
      <c r="I8" s="285"/>
    </row>
    <row r="9" spans="1:9" ht="12.75">
      <c r="A9" s="507"/>
      <c r="B9" s="421">
        <f>'пр.хода'!Q21</f>
        <v>28</v>
      </c>
      <c r="C9" s="508" t="str">
        <f>VLOOKUP(B9,'пр.взв.'!B1:H136,2,FALSE)</f>
        <v>УЛЬЯХОВ Александр Александрович </v>
      </c>
      <c r="D9" s="508" t="str">
        <f>VLOOKUP(B9,'пр.взв.'!B1:H136,3,FALSE)</f>
        <v>16.07.88 мс</v>
      </c>
      <c r="E9" s="501" t="str">
        <f>VLOOKUP(B9,'пр.взв.'!B1:H136,4,FALSE)</f>
        <v>ЦФО</v>
      </c>
      <c r="F9" s="503" t="str">
        <f>VLOOKUP(B9,'пр.взв.'!B1:H136,5,FALSE)</f>
        <v>Брянская Брянск Д</v>
      </c>
      <c r="G9" s="506"/>
      <c r="H9" s="285"/>
      <c r="I9" s="285"/>
    </row>
    <row r="10" spans="1:9" ht="12.75">
      <c r="A10" s="507"/>
      <c r="B10" s="285"/>
      <c r="C10" s="508"/>
      <c r="D10" s="508"/>
      <c r="E10" s="502"/>
      <c r="F10" s="504"/>
      <c r="G10" s="506"/>
      <c r="H10" s="285"/>
      <c r="I10" s="285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99" t="str">
        <f>E2</f>
        <v>в.к. 82 кг.</v>
      </c>
    </row>
    <row r="17" spans="1:9" ht="12.75">
      <c r="A17" s="285" t="s">
        <v>12</v>
      </c>
      <c r="B17" s="285" t="s">
        <v>3</v>
      </c>
      <c r="C17" s="284" t="s">
        <v>4</v>
      </c>
      <c r="D17" s="285" t="s">
        <v>13</v>
      </c>
      <c r="E17" s="511" t="s">
        <v>14</v>
      </c>
      <c r="F17" s="512"/>
      <c r="G17" s="285" t="s">
        <v>15</v>
      </c>
      <c r="H17" s="285" t="s">
        <v>16</v>
      </c>
      <c r="I17" s="285" t="s">
        <v>17</v>
      </c>
    </row>
    <row r="18" spans="1:9" ht="12.75">
      <c r="A18" s="283"/>
      <c r="B18" s="283"/>
      <c r="C18" s="283"/>
      <c r="D18" s="283"/>
      <c r="E18" s="513"/>
      <c r="F18" s="514"/>
      <c r="G18" s="283"/>
      <c r="H18" s="283"/>
      <c r="I18" s="283"/>
    </row>
    <row r="19" spans="1:9" ht="12.75">
      <c r="A19" s="509"/>
      <c r="B19" s="421">
        <f>'пр.хода'!Q64</f>
        <v>48</v>
      </c>
      <c r="C19" s="508" t="str">
        <f>VLOOKUP(B19,'пр.взв.'!B7:H146,2,FALSE)</f>
        <v>ПЕРЕПЕЛЮК Андрей Александрович</v>
      </c>
      <c r="D19" s="508" t="str">
        <f>VLOOKUP(B19,'пр.взв.'!B7:H146,3,FALSE)</f>
        <v>06.08.85, МСМК</v>
      </c>
      <c r="E19" s="501" t="str">
        <f>VLOOKUP(B19,'пр.взв.'!B7:H146,4,FALSE)</f>
        <v>МОС</v>
      </c>
      <c r="F19" s="503" t="str">
        <f>VLOOKUP(B19,'пр.взв.'!B7:H146,5,FALSE)</f>
        <v>Москва, Д</v>
      </c>
      <c r="G19" s="506"/>
      <c r="H19" s="320"/>
      <c r="I19" s="285"/>
    </row>
    <row r="20" spans="1:9" ht="12.75">
      <c r="A20" s="509"/>
      <c r="B20" s="285"/>
      <c r="C20" s="508"/>
      <c r="D20" s="508"/>
      <c r="E20" s="515"/>
      <c r="F20" s="505"/>
      <c r="G20" s="506"/>
      <c r="H20" s="320"/>
      <c r="I20" s="285"/>
    </row>
    <row r="21" spans="1:9" ht="12.75">
      <c r="A21" s="507"/>
      <c r="B21" s="421">
        <f>'пр.хода'!Q69</f>
        <v>13</v>
      </c>
      <c r="C21" s="508" t="str">
        <f>VLOOKUP(B21,'пр.взв.'!B4:H148,2,FALSE)</f>
        <v>КОКОВИЧ Илья Игоревич</v>
      </c>
      <c r="D21" s="508" t="str">
        <f>VLOOKUP(B21,'пр.взв.'!B4:H148,3,FALSE)</f>
        <v>15.06.88, МСМК</v>
      </c>
      <c r="E21" s="501" t="str">
        <f>VLOOKUP(B21,'пр.взв.'!B4:H148,4,FALSE)</f>
        <v>МОС</v>
      </c>
      <c r="F21" s="503" t="str">
        <f>VLOOKUP(B21,'пр.взв.'!B4:H148,5,FALSE)</f>
        <v>Москва, Д</v>
      </c>
      <c r="G21" s="506"/>
      <c r="H21" s="285"/>
      <c r="I21" s="285"/>
    </row>
    <row r="22" spans="1:9" ht="12.75">
      <c r="A22" s="507"/>
      <c r="B22" s="285"/>
      <c r="C22" s="508"/>
      <c r="D22" s="508"/>
      <c r="E22" s="502"/>
      <c r="F22" s="504"/>
      <c r="G22" s="506"/>
      <c r="H22" s="285"/>
      <c r="I22" s="285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99" t="str">
        <f>E16</f>
        <v>в.к. 82 кг.</v>
      </c>
    </row>
    <row r="30" spans="1:9" ht="12.75">
      <c r="A30" s="285" t="s">
        <v>12</v>
      </c>
      <c r="B30" s="285" t="s">
        <v>3</v>
      </c>
      <c r="C30" s="284" t="s">
        <v>4</v>
      </c>
      <c r="D30" s="285" t="s">
        <v>13</v>
      </c>
      <c r="E30" s="511" t="s">
        <v>14</v>
      </c>
      <c r="F30" s="512"/>
      <c r="G30" s="285" t="s">
        <v>15</v>
      </c>
      <c r="H30" s="285" t="s">
        <v>16</v>
      </c>
      <c r="I30" s="285" t="s">
        <v>17</v>
      </c>
    </row>
    <row r="31" spans="1:9" ht="12.75">
      <c r="A31" s="283"/>
      <c r="B31" s="283"/>
      <c r="C31" s="283"/>
      <c r="D31" s="283"/>
      <c r="E31" s="513"/>
      <c r="F31" s="514"/>
      <c r="G31" s="283"/>
      <c r="H31" s="283"/>
      <c r="I31" s="283"/>
    </row>
    <row r="32" spans="1:9" ht="12.75">
      <c r="A32" s="509"/>
      <c r="B32" s="421">
        <f>'пр.хода'!M36</f>
        <v>27</v>
      </c>
      <c r="C32" s="508" t="str">
        <f>VLOOKUP(B32,'пр.взв.'!B1:H159,2,FALSE)</f>
        <v>КИРЮХИН Сергей Александрович</v>
      </c>
      <c r="D32" s="508" t="str">
        <f>VLOOKUP(B32,'пр.взв.'!B4:H159,3,FALSE)</f>
        <v>23.02.87, ЗМС</v>
      </c>
      <c r="E32" s="501" t="str">
        <f>VLOOKUP(B32,'пр.взв.'!B1:H159,4,FALSE)</f>
        <v>СПБ</v>
      </c>
      <c r="F32" s="503" t="str">
        <f>VLOOKUP(B32,'пр.взв.'!B1:H159,5,FALSE)</f>
        <v>С-Петербург, ВС</v>
      </c>
      <c r="G32" s="506"/>
      <c r="H32" s="320"/>
      <c r="I32" s="285"/>
    </row>
    <row r="33" spans="1:9" ht="12.75">
      <c r="A33" s="509"/>
      <c r="B33" s="285"/>
      <c r="C33" s="508"/>
      <c r="D33" s="508"/>
      <c r="E33" s="515"/>
      <c r="F33" s="505"/>
      <c r="G33" s="506"/>
      <c r="H33" s="320"/>
      <c r="I33" s="285"/>
    </row>
    <row r="34" spans="1:9" ht="12.75">
      <c r="A34" s="507"/>
      <c r="B34" s="421">
        <f>'пр.хода'!S36</f>
        <v>14</v>
      </c>
      <c r="C34" s="508" t="str">
        <f>VLOOKUP(B34,'пр.взв.'!B2:H161,2,FALSE)</f>
        <v>МАКСИМОВ Евгений Олегович</v>
      </c>
      <c r="D34" s="508" t="str">
        <f>VLOOKUP(B34,'пр.взв.'!B2:H161,3,FALSE)</f>
        <v>09.06.87, МС</v>
      </c>
      <c r="E34" s="501" t="str">
        <f>VLOOKUP(B34,'пр.взв.'!B2:H161,4,FALSE)</f>
        <v>ЦФО</v>
      </c>
      <c r="F34" s="503" t="str">
        <f>VLOOKUP(B34,'пр.взв.'!B2:H161,5,FALSE)</f>
        <v>Московская, Мытищи</v>
      </c>
      <c r="G34" s="506"/>
      <c r="H34" s="285"/>
      <c r="I34" s="285"/>
    </row>
    <row r="35" spans="1:9" ht="12.75">
      <c r="A35" s="507"/>
      <c r="B35" s="285"/>
      <c r="C35" s="508"/>
      <c r="D35" s="508"/>
      <c r="E35" s="502"/>
      <c r="F35" s="504"/>
      <c r="G35" s="506"/>
      <c r="H35" s="285"/>
      <c r="I35" s="285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30:A31"/>
    <mergeCell ref="B30:B31"/>
    <mergeCell ref="C30:C31"/>
    <mergeCell ref="D30:D31"/>
    <mergeCell ref="F32:F33"/>
    <mergeCell ref="G32:G33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tabSelected="1" zoomScalePageLayoutView="0" workbookViewId="0" topLeftCell="A1">
      <selection activeCell="A74" sqref="A1:H7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  <col min="10" max="10" width="16.57421875" style="0" customWidth="1"/>
    <col min="11" max="11" width="9.140625" style="0" customWidth="1"/>
    <col min="12" max="18" width="9.140625" style="0" hidden="1" customWidth="1"/>
    <col min="19" max="19" width="5.57421875" style="0" customWidth="1"/>
    <col min="20" max="20" width="16.7109375" style="0" customWidth="1"/>
  </cols>
  <sheetData>
    <row r="1" spans="1:8" ht="30" customHeight="1" thickBot="1">
      <c r="A1" s="272" t="s">
        <v>29</v>
      </c>
      <c r="B1" s="272"/>
      <c r="C1" s="272"/>
      <c r="D1" s="272"/>
      <c r="E1" s="272"/>
      <c r="F1" s="272"/>
      <c r="G1" s="272"/>
      <c r="H1" s="272"/>
    </row>
    <row r="2" spans="2:8" ht="13.5" customHeight="1" thickBot="1">
      <c r="B2" s="273" t="s">
        <v>31</v>
      </c>
      <c r="C2" s="273"/>
      <c r="D2" s="555" t="str">
        <f>'[2]реквизиты'!$A$2</f>
        <v>Чемпионат России по  САМБО среди мужчин.</v>
      </c>
      <c r="E2" s="556"/>
      <c r="F2" s="556"/>
      <c r="G2" s="556"/>
      <c r="H2" s="557"/>
    </row>
    <row r="3" spans="2:8" ht="15" customHeight="1" thickBot="1">
      <c r="B3" s="574" t="str">
        <f>'[2]реквизиты'!$A$3</f>
        <v>4-8 марта 2016.                                                         г.Химки</v>
      </c>
      <c r="C3" s="574"/>
      <c r="D3" s="574"/>
      <c r="E3" s="574"/>
      <c r="F3" s="574"/>
      <c r="G3" s="574"/>
      <c r="H3" s="107" t="str">
        <f>'пр.взв.'!D4</f>
        <v>в.к. 82 кг.</v>
      </c>
    </row>
    <row r="4" spans="1:24" ht="12.75" customHeight="1" thickBot="1">
      <c r="A4" s="523" t="s">
        <v>55</v>
      </c>
      <c r="B4" s="525" t="s">
        <v>3</v>
      </c>
      <c r="C4" s="527" t="s">
        <v>4</v>
      </c>
      <c r="D4" s="529" t="s">
        <v>5</v>
      </c>
      <c r="E4" s="536" t="s">
        <v>6</v>
      </c>
      <c r="F4" s="537"/>
      <c r="G4" s="554" t="s">
        <v>8</v>
      </c>
      <c r="H4" s="558" t="s">
        <v>7</v>
      </c>
      <c r="J4" s="568" t="str">
        <f>_xlfn.IFERROR(LEFT(F6,FIND(",",F6)-1),F6)</f>
        <v>С-Петербург</v>
      </c>
      <c r="K4" s="567">
        <v>1</v>
      </c>
      <c r="L4" s="569" t="s">
        <v>76</v>
      </c>
      <c r="M4" s="571" t="s">
        <v>77</v>
      </c>
      <c r="N4" s="561"/>
      <c r="O4" s="562"/>
      <c r="P4" s="562"/>
      <c r="Q4" s="563"/>
      <c r="S4" s="564" t="s">
        <v>76</v>
      </c>
      <c r="T4" s="575" t="s">
        <v>77</v>
      </c>
      <c r="U4" s="561"/>
      <c r="V4" s="562"/>
      <c r="W4" s="562"/>
      <c r="X4" s="563"/>
    </row>
    <row r="5" spans="1:24" ht="9.75" customHeight="1" thickBot="1">
      <c r="A5" s="524"/>
      <c r="B5" s="526"/>
      <c r="C5" s="528"/>
      <c r="D5" s="530"/>
      <c r="E5" s="538"/>
      <c r="F5" s="539"/>
      <c r="G5" s="514"/>
      <c r="H5" s="559"/>
      <c r="J5" s="568"/>
      <c r="K5" s="567"/>
      <c r="L5" s="570"/>
      <c r="M5" s="572"/>
      <c r="N5" s="195">
        <v>1</v>
      </c>
      <c r="O5" s="196">
        <v>2</v>
      </c>
      <c r="P5" s="196">
        <v>3</v>
      </c>
      <c r="Q5" s="197">
        <v>5</v>
      </c>
      <c r="S5" s="565"/>
      <c r="T5" s="576"/>
      <c r="U5" s="212">
        <v>1</v>
      </c>
      <c r="V5" s="213">
        <v>2</v>
      </c>
      <c r="W5" s="213">
        <v>3</v>
      </c>
      <c r="X5" s="214">
        <v>5</v>
      </c>
    </row>
    <row r="6" spans="1:24" ht="11.25" customHeight="1">
      <c r="A6" s="540">
        <v>1</v>
      </c>
      <c r="B6" s="542">
        <f>'пр.хода'!M32</f>
        <v>27</v>
      </c>
      <c r="C6" s="531" t="str">
        <f>VLOOKUP(B6,'пр.взв.'!B$7:H$134,2,FALSE)</f>
        <v>КИРЮХИН Сергей Александрович</v>
      </c>
      <c r="D6" s="532" t="str">
        <f>VLOOKUP(B6,'пр.взв.'!B$7:H$134,3,FALSE)</f>
        <v>23.02.87, ЗМС</v>
      </c>
      <c r="E6" s="533" t="str">
        <f>VLOOKUP(B6,'пр.взв.'!B$7:H$134,4,FALSE)</f>
        <v>СПБ</v>
      </c>
      <c r="F6" s="535" t="str">
        <f>VLOOKUP(B6,'пр.взв.'!B$7:H$142,5,FALSE)</f>
        <v>С-Петербург, ВС</v>
      </c>
      <c r="G6" s="534">
        <f>VLOOKUP(B6,'пр.взв.'!B$7:H$139,6,FALSE)</f>
        <v>0</v>
      </c>
      <c r="H6" s="560" t="str">
        <f>VLOOKUP(B6,'пр.взв.'!B$7:H$151,7,FALSE)</f>
        <v>Кусакин С.И., Удовик С.В.</v>
      </c>
      <c r="J6" s="568" t="s">
        <v>78</v>
      </c>
      <c r="K6" s="567">
        <v>1</v>
      </c>
      <c r="L6" s="198">
        <v>1</v>
      </c>
      <c r="M6" s="199" t="s">
        <v>79</v>
      </c>
      <c r="N6" s="200">
        <f>SUMIF($J$4:$J$7,"Алт",$K$4:$K$7)</f>
        <v>0</v>
      </c>
      <c r="O6" s="200">
        <f>SUMIF($I$8:$J$9,"алт",$K$6:$K$9)</f>
        <v>0</v>
      </c>
      <c r="P6" s="201">
        <f>SUMIF($J$10:$J$13,"Алт",$K$10:$K$13)</f>
        <v>0</v>
      </c>
      <c r="Q6" s="201">
        <f>SUMIF($J$14:$J$17,"Алт",$K$14:$K$17)</f>
        <v>0</v>
      </c>
      <c r="S6" s="198">
        <v>1</v>
      </c>
      <c r="T6" s="215" t="str">
        <f>J4</f>
        <v>С-Петербург</v>
      </c>
      <c r="U6" s="200">
        <f aca="true" t="shared" si="0" ref="U6:U11">SUMIF($J$4:$J$7,T6,$K$4:$K$7)</f>
        <v>1</v>
      </c>
      <c r="V6" s="200">
        <f aca="true" t="shared" si="1" ref="V6:V11">SUMIF($I$8:$J$9,T6,$K$6:$K$9)</f>
        <v>0</v>
      </c>
      <c r="W6" s="201">
        <f aca="true" t="shared" si="2" ref="W6:W11">SUMIF($J$10:$J$13,T6,$K$10:$K$13)</f>
        <v>0</v>
      </c>
      <c r="X6" s="201">
        <f aca="true" t="shared" si="3" ref="X6:X11">SUMIF($J$14:$J$17,T6,$K$14:$K$17)</f>
        <v>0</v>
      </c>
    </row>
    <row r="7" spans="1:24" ht="11.25" customHeight="1">
      <c r="A7" s="541"/>
      <c r="B7" s="518"/>
      <c r="C7" s="519"/>
      <c r="D7" s="520"/>
      <c r="E7" s="521"/>
      <c r="F7" s="288"/>
      <c r="G7" s="516"/>
      <c r="H7" s="553"/>
      <c r="J7" s="568"/>
      <c r="K7" s="567"/>
      <c r="L7" s="202">
        <v>2</v>
      </c>
      <c r="M7" s="199" t="s">
        <v>80</v>
      </c>
      <c r="N7" s="200">
        <f>SUMIF($J$4:$J$7,"заб",$K$4:$K$7)</f>
        <v>0</v>
      </c>
      <c r="O7" s="200">
        <f>SUMIF($I$8:$J$9,"заб",$K$6:$K$9)</f>
        <v>0</v>
      </c>
      <c r="P7" s="201">
        <f>SUMIF($J$10:$J$13,"заб",$K$10:$K$13)</f>
        <v>0</v>
      </c>
      <c r="Q7" s="201">
        <f>SUMIF($J$14:$J$17,"заб",$K$14:$K$17)</f>
        <v>0</v>
      </c>
      <c r="S7" s="202">
        <v>2</v>
      </c>
      <c r="T7" s="215" t="str">
        <f>IF(J8=J4," ",J8)</f>
        <v>Московская</v>
      </c>
      <c r="U7" s="200">
        <f t="shared" si="0"/>
        <v>0</v>
      </c>
      <c r="V7" s="200">
        <f t="shared" si="1"/>
        <v>1</v>
      </c>
      <c r="W7" s="201">
        <f t="shared" si="2"/>
        <v>0</v>
      </c>
      <c r="X7" s="201">
        <f t="shared" si="3"/>
        <v>0</v>
      </c>
    </row>
    <row r="8" spans="1:24" ht="11.25" customHeight="1">
      <c r="A8" s="541">
        <v>2</v>
      </c>
      <c r="B8" s="518">
        <f>'пр.хода'!M40</f>
        <v>14</v>
      </c>
      <c r="C8" s="519" t="str">
        <f>VLOOKUP(B8,'пр.взв.'!B$7:H$134,2,FALSE)</f>
        <v>МАКСИМОВ Евгений Олегович</v>
      </c>
      <c r="D8" s="520" t="str">
        <f>VLOOKUP(B8,'пр.взв.'!B$7:H$134,3,FALSE)</f>
        <v>09.06.87, МС</v>
      </c>
      <c r="E8" s="521" t="str">
        <f>VLOOKUP(B8,'пр.взв.'!B$7:H$134,4,FALSE)</f>
        <v>ЦФО</v>
      </c>
      <c r="F8" s="288" t="str">
        <f>VLOOKUP(B8,'пр.взв.'!B$7:H$142,5,FALSE)</f>
        <v>Московская, Мытищи</v>
      </c>
      <c r="G8" s="516">
        <f>VLOOKUP(B8,'пр.взв.'!B$7:H$139,6,FALSE)</f>
        <v>0</v>
      </c>
      <c r="H8" s="553" t="str">
        <f>VLOOKUP(B8,'пр.взв.'!B$7:H$151,7,FALSE)</f>
        <v>Воробьёв Д.В.</v>
      </c>
      <c r="J8" s="566" t="str">
        <f>_xlfn.IFERROR(LEFT(F8,FIND(",",F8)-1),F8)</f>
        <v>Московская</v>
      </c>
      <c r="K8" s="567">
        <v>1</v>
      </c>
      <c r="L8" s="203">
        <v>3</v>
      </c>
      <c r="M8" s="199" t="s">
        <v>81</v>
      </c>
      <c r="N8" s="200">
        <f>SUMIF($J$4:$J$7,"ирк",$K$4:$K$7)</f>
        <v>0</v>
      </c>
      <c r="O8" s="200">
        <f>SUMIF($I$8:$J$9,"ирк",$K$6:$K$9)</f>
        <v>0</v>
      </c>
      <c r="P8" s="201">
        <f>SUMIF($J$10:$J$13,"ирк",$K$10:$K$13)</f>
        <v>0</v>
      </c>
      <c r="Q8" s="201">
        <f>SUMIF($J$14:$J$17,"ирк",$K$14:$K$17)</f>
        <v>0</v>
      </c>
      <c r="S8" s="203">
        <v>3</v>
      </c>
      <c r="T8" s="215" t="str">
        <f>IF(OR(J10=J4,J10=J8)," ",J10)</f>
        <v>Брянская Брянск Д</v>
      </c>
      <c r="U8" s="200">
        <f t="shared" si="0"/>
        <v>0</v>
      </c>
      <c r="V8" s="200">
        <f t="shared" si="1"/>
        <v>0</v>
      </c>
      <c r="W8" s="201">
        <f t="shared" si="2"/>
        <v>1</v>
      </c>
      <c r="X8" s="201">
        <f t="shared" si="3"/>
        <v>0</v>
      </c>
    </row>
    <row r="9" spans="1:24" ht="11.25" customHeight="1">
      <c r="A9" s="541"/>
      <c r="B9" s="518"/>
      <c r="C9" s="519"/>
      <c r="D9" s="520"/>
      <c r="E9" s="521"/>
      <c r="F9" s="288"/>
      <c r="G9" s="516"/>
      <c r="H9" s="553"/>
      <c r="J9" s="566"/>
      <c r="K9" s="567"/>
      <c r="L9" s="202">
        <v>4</v>
      </c>
      <c r="M9" s="199" t="s">
        <v>82</v>
      </c>
      <c r="N9" s="200">
        <f>SUMIF($J$4:$J$7,"кем",$K$4:$K$7)</f>
        <v>0</v>
      </c>
      <c r="O9" s="200">
        <f>SUMIF($I$8:$J$9,"кем",$K$6:$K$9)</f>
        <v>0</v>
      </c>
      <c r="P9" s="201">
        <f>SUMIF($J$10:$J$13,"кем",$K$10:$K$13)</f>
        <v>0</v>
      </c>
      <c r="Q9" s="201">
        <f>SUMIF($J$14:$J$17,"кем",$K$14:$K$17)</f>
        <v>0</v>
      </c>
      <c r="S9" s="202">
        <v>4</v>
      </c>
      <c r="T9" s="215" t="str">
        <f>IF(OR(J12=J4,J12=J8,J12=J10)," ",J12)</f>
        <v>Москва</v>
      </c>
      <c r="U9" s="200">
        <f t="shared" si="0"/>
        <v>0</v>
      </c>
      <c r="V9" s="200">
        <f t="shared" si="1"/>
        <v>0</v>
      </c>
      <c r="W9" s="201">
        <f t="shared" si="2"/>
        <v>1</v>
      </c>
      <c r="X9" s="201">
        <f t="shared" si="3"/>
        <v>1</v>
      </c>
    </row>
    <row r="10" spans="1:24" ht="11.25" customHeight="1">
      <c r="A10" s="541">
        <v>3</v>
      </c>
      <c r="B10" s="518">
        <f>'пр.хода'!R18</f>
        <v>28</v>
      </c>
      <c r="C10" s="519" t="str">
        <f>VLOOKUP(B10,'пр.взв.'!B$7:H$134,2,FALSE)</f>
        <v>УЛЬЯХОВ Александр Александрович </v>
      </c>
      <c r="D10" s="520" t="str">
        <f>VLOOKUP(B10,'пр.взв.'!B$7:H$134,3,FALSE)</f>
        <v>16.07.88 мс</v>
      </c>
      <c r="E10" s="521" t="str">
        <f>VLOOKUP(B10,'пр.взв.'!B$7:H$134,4,FALSE)</f>
        <v>ЦФО</v>
      </c>
      <c r="F10" s="288" t="str">
        <f>VLOOKUP(B10,'пр.взв.'!B$7:H$142,5,FALSE)</f>
        <v>Брянская Брянск Д</v>
      </c>
      <c r="G10" s="516" t="str">
        <f>VLOOKUP(B10,'пр.взв.'!B$7:H$139,6,FALSE)</f>
        <v>000387</v>
      </c>
      <c r="H10" s="553" t="str">
        <f>VLOOKUP(B10,'пр.взв.'!B$7:H$151,7,FALSE)</f>
        <v>Терешок Ал.А, Терешок Ан. А</v>
      </c>
      <c r="J10" s="566" t="str">
        <f>_xlfn.IFERROR(LEFT(F10,FIND(",",F10)-1),F10)</f>
        <v>Брянская Брянск Д</v>
      </c>
      <c r="K10" s="567">
        <v>1</v>
      </c>
      <c r="L10" s="203">
        <v>5</v>
      </c>
      <c r="M10" s="199" t="s">
        <v>83</v>
      </c>
      <c r="N10" s="200">
        <f>SUMIF($J$4:$J$7,"кра",$K$4:$K$7)</f>
        <v>0</v>
      </c>
      <c r="O10" s="200">
        <f>SUMIF($I$8:$J$9,"кра",$K$6:$K$9)</f>
        <v>0</v>
      </c>
      <c r="P10" s="201">
        <f>SUMIF($J$10:$J$13,"кра",$K$10:$K$13)</f>
        <v>0</v>
      </c>
      <c r="Q10" s="201">
        <f>SUMIF($J$14:$J$17,"кра",$K$14:$K$17)</f>
        <v>0</v>
      </c>
      <c r="S10" s="203">
        <v>5</v>
      </c>
      <c r="T10" s="215" t="str">
        <f>IF(OR(J14=J4,J14=J8,J14=J10,J14=J12)," ",J14)</f>
        <v>Саратовская</v>
      </c>
      <c r="U10" s="200">
        <f t="shared" si="0"/>
        <v>0</v>
      </c>
      <c r="V10" s="200">
        <f t="shared" si="1"/>
        <v>0</v>
      </c>
      <c r="W10" s="201">
        <f t="shared" si="2"/>
        <v>0</v>
      </c>
      <c r="X10" s="201">
        <f t="shared" si="3"/>
        <v>1</v>
      </c>
    </row>
    <row r="11" spans="1:24" ht="11.25" customHeight="1">
      <c r="A11" s="541"/>
      <c r="B11" s="518"/>
      <c r="C11" s="519"/>
      <c r="D11" s="520"/>
      <c r="E11" s="521"/>
      <c r="F11" s="288"/>
      <c r="G11" s="516"/>
      <c r="H11" s="553"/>
      <c r="J11" s="566"/>
      <c r="K11" s="567"/>
      <c r="L11" s="202">
        <v>6</v>
      </c>
      <c r="M11" s="199" t="s">
        <v>84</v>
      </c>
      <c r="N11" s="200">
        <f>SUMIF($J$4:$J$7,"нов",$K$4:$K$7)</f>
        <v>0</v>
      </c>
      <c r="O11" s="200">
        <f>SUMIF($I$8:$J$9,"нов",$K$6:$K$9)</f>
        <v>0</v>
      </c>
      <c r="P11" s="201">
        <f>SUMIF($J$10:$J$13,"нов",$K$10:$K$13)</f>
        <v>0</v>
      </c>
      <c r="Q11" s="201">
        <f>SUMIF($J$14:$J$17,"нов",$K$14:$K$17)</f>
        <v>0</v>
      </c>
      <c r="S11" s="202">
        <v>6</v>
      </c>
      <c r="T11" s="215" t="str">
        <f>IF(OR(J16=J4,J16=J8,J16=J10,J16=J12,J16=J14)," ",J16)</f>
        <v> </v>
      </c>
      <c r="U11" s="200">
        <f t="shared" si="0"/>
        <v>0</v>
      </c>
      <c r="V11" s="200">
        <f t="shared" si="1"/>
        <v>0</v>
      </c>
      <c r="W11" s="201">
        <f t="shared" si="2"/>
        <v>0</v>
      </c>
      <c r="X11" s="201">
        <f t="shared" si="3"/>
        <v>0</v>
      </c>
    </row>
    <row r="12" spans="1:24" ht="11.25" customHeight="1">
      <c r="A12" s="541">
        <v>3</v>
      </c>
      <c r="B12" s="518">
        <f>'пр.хода'!R67</f>
        <v>48</v>
      </c>
      <c r="C12" s="519" t="str">
        <f>VLOOKUP(B12,'пр.взв.'!B$7:H$134,2,FALSE)</f>
        <v>ПЕРЕПЕЛЮК Андрей Александрович</v>
      </c>
      <c r="D12" s="520" t="str">
        <f>VLOOKUP(B12,'пр.взв.'!B$7:H$134,3,FALSE)</f>
        <v>06.08.85, МСМК</v>
      </c>
      <c r="E12" s="521" t="str">
        <f>VLOOKUP(B12,'пр.взв.'!B$7:H$134,4,FALSE)</f>
        <v>МОС</v>
      </c>
      <c r="F12" s="288" t="str">
        <f>VLOOKUP(B12,'пр.взв.'!B$7:H$142,5,FALSE)</f>
        <v>Москва, Д</v>
      </c>
      <c r="G12" s="516">
        <f>VLOOKUP(B12,'пр.взв.'!B$7:H$139,6,FALSE)</f>
        <v>0</v>
      </c>
      <c r="H12" s="553" t="str">
        <f>VLOOKUP(B12,'пр.взв.'!B$7:H$151,7,FALSE)</f>
        <v>Леонтьев А.А., Павлов Д.А.</v>
      </c>
      <c r="J12" s="566" t="str">
        <f>_xlfn.IFERROR(LEFT(F12,FIND(",",F12)-1),F12)</f>
        <v>Москва</v>
      </c>
      <c r="K12" s="567">
        <v>1</v>
      </c>
      <c r="L12" s="203">
        <v>7</v>
      </c>
      <c r="M12" s="199" t="s">
        <v>85</v>
      </c>
      <c r="N12" s="200">
        <f>SUMIF($J$4:$J$7,"омс",$K$4:$K$7)</f>
        <v>0</v>
      </c>
      <c r="O12" s="200">
        <f>SUMIF($I$8:$J$9,"омс",$K$6:$K$9)</f>
        <v>0</v>
      </c>
      <c r="P12" s="201">
        <f>SUMIF($J$10:$J$13,"омс",$K$10:$K$13)</f>
        <v>0</v>
      </c>
      <c r="Q12" s="201">
        <f>SUMIF($J$14:$J$17,"омс",$K$14:$K$17)</f>
        <v>0</v>
      </c>
      <c r="S12" s="204"/>
      <c r="T12" s="215" t="str">
        <f>IF(OR(J15=J7,J15=J11,J15=J13)," ",J15)</f>
        <v> </v>
      </c>
      <c r="U12" s="205"/>
      <c r="V12" s="205"/>
      <c r="W12" s="206"/>
      <c r="X12" s="206"/>
    </row>
    <row r="13" spans="1:24" ht="11.25" customHeight="1">
      <c r="A13" s="541"/>
      <c r="B13" s="518"/>
      <c r="C13" s="519"/>
      <c r="D13" s="520"/>
      <c r="E13" s="521"/>
      <c r="F13" s="288"/>
      <c r="G13" s="516"/>
      <c r="H13" s="553"/>
      <c r="J13" s="566"/>
      <c r="K13" s="567"/>
      <c r="L13" s="202">
        <v>8</v>
      </c>
      <c r="M13" s="199" t="s">
        <v>86</v>
      </c>
      <c r="N13" s="200">
        <f>SUMIF($J$4:$J$7,"р.а",$K$4:$K$7)</f>
        <v>0</v>
      </c>
      <c r="O13" s="200">
        <f>SUMIF($I$8:$J$9,"р.а",$K$6:$K$9)</f>
        <v>0</v>
      </c>
      <c r="P13" s="201">
        <f>SUMIF($J$10:$J$13,"р.а",$K$10:$K$13)</f>
        <v>0</v>
      </c>
      <c r="Q13" s="201">
        <f>SUMIF($J$14:$J$17,"р.а",$K$14:$K$17)</f>
        <v>0</v>
      </c>
      <c r="S13" s="207"/>
      <c r="T13" s="216" t="str">
        <f>IF(OR(J16=J8,J16=J12,J16=J14)," ",J16)</f>
        <v> </v>
      </c>
      <c r="U13" s="205"/>
      <c r="V13" s="205"/>
      <c r="W13" s="206"/>
      <c r="X13" s="206"/>
    </row>
    <row r="14" spans="1:24" ht="11.25" customHeight="1">
      <c r="A14" s="541">
        <v>5</v>
      </c>
      <c r="B14" s="518">
        <f>'пр.хода'!AM28</f>
        <v>45</v>
      </c>
      <c r="C14" s="519" t="str">
        <f>VLOOKUP(B14,'пр.взв.'!B$7:H$134,2,FALSE)</f>
        <v>ДЁМИН Антон Александрович</v>
      </c>
      <c r="D14" s="520" t="str">
        <f>VLOOKUP(B14,'пр.взв.'!B$7:H$134,3,FALSE)</f>
        <v>16.10.89, МС</v>
      </c>
      <c r="E14" s="521" t="str">
        <f>VLOOKUP(B14,'пр.взв.'!B$7:H$134,4,FALSE)</f>
        <v>ПФО</v>
      </c>
      <c r="F14" s="288" t="str">
        <f>VLOOKUP(B14,'пр.взв.'!B$7:H$142,5,FALSE)</f>
        <v>Саратовская,Балашов</v>
      </c>
      <c r="G14" s="516">
        <f>VLOOKUP(B14,'пр.взв.'!B$7:H$139,6,FALSE)</f>
        <v>0</v>
      </c>
      <c r="H14" s="553" t="str">
        <f>VLOOKUP(B14,'пр.взв.'!B$7:H$151,7,FALSE)</f>
        <v>Глухов В.Н.</v>
      </c>
      <c r="J14" s="566" t="str">
        <f>_xlfn.IFERROR(LEFT(F14,FIND(",",F14)-1),F14)</f>
        <v>Саратовская</v>
      </c>
      <c r="K14" s="567">
        <v>1</v>
      </c>
      <c r="L14" s="203">
        <v>9</v>
      </c>
      <c r="M14" s="199" t="s">
        <v>87</v>
      </c>
      <c r="N14" s="200">
        <f>SUMIF($J$4:$J$7,"р.б",$K$4:$K$7)</f>
        <v>0</v>
      </c>
      <c r="O14" s="200">
        <f>SUMIF($I$8:$J$9,"р.б",$K$6:$K$9)</f>
        <v>0</v>
      </c>
      <c r="P14" s="201">
        <f>SUMIF($J$10:$J$13,"р.б",$K$10:$K$13)</f>
        <v>0</v>
      </c>
      <c r="Q14" s="201">
        <f>SUMIF($J$14:$J$17,"р.б",$K$14:$K$17)</f>
        <v>0</v>
      </c>
      <c r="S14" s="204"/>
      <c r="T14" s="217"/>
      <c r="U14" s="205"/>
      <c r="V14" s="205"/>
      <c r="W14" s="206"/>
      <c r="X14" s="206"/>
    </row>
    <row r="15" spans="1:24" ht="11.25" customHeight="1">
      <c r="A15" s="541"/>
      <c r="B15" s="518"/>
      <c r="C15" s="519"/>
      <c r="D15" s="520"/>
      <c r="E15" s="521"/>
      <c r="F15" s="288"/>
      <c r="G15" s="516"/>
      <c r="H15" s="553"/>
      <c r="J15" s="566"/>
      <c r="K15" s="567"/>
      <c r="L15" s="202">
        <v>10</v>
      </c>
      <c r="M15" s="199" t="s">
        <v>88</v>
      </c>
      <c r="N15" s="200">
        <f>SUMIF($J$4:$J$7,"р.х",$K$4:$K$7)</f>
        <v>0</v>
      </c>
      <c r="O15" s="200">
        <f>SUMIF($I$8:$J$9,"р.х",$K$6:$K$9)</f>
        <v>0</v>
      </c>
      <c r="P15" s="201">
        <f>SUMIF($J$10:$J$13,"р.х",$K$10:$K$13)</f>
        <v>0</v>
      </c>
      <c r="Q15" s="201">
        <f>SUMIF($J$14:$J$17,"р.х",$K$14:$K$17)</f>
        <v>0</v>
      </c>
      <c r="S15" s="207"/>
      <c r="T15" s="217"/>
      <c r="U15" s="205"/>
      <c r="V15" s="205"/>
      <c r="W15" s="206"/>
      <c r="X15" s="206"/>
    </row>
    <row r="16" spans="1:24" ht="11.25" customHeight="1">
      <c r="A16" s="541">
        <v>5</v>
      </c>
      <c r="B16" s="518">
        <f>'пр.хода'!AM29</f>
        <v>13</v>
      </c>
      <c r="C16" s="519" t="str">
        <f>VLOOKUP(B16,'пр.взв.'!B$7:H$134,2,FALSE)</f>
        <v>КОКОВИЧ Илья Игоревич</v>
      </c>
      <c r="D16" s="520" t="str">
        <f>VLOOKUP(B16,'пр.взв.'!B$7:H$134,3,FALSE)</f>
        <v>15.06.88, МСМК</v>
      </c>
      <c r="E16" s="521" t="str">
        <f>VLOOKUP(B16,'пр.взв.'!B$7:H$134,4,FALSE)</f>
        <v>МОС</v>
      </c>
      <c r="F16" s="288" t="str">
        <f>VLOOKUP(B16,'пр.взв.'!B$7:H$142,5,FALSE)</f>
        <v>Москва, Д</v>
      </c>
      <c r="G16" s="516">
        <f>VLOOKUP(B16,'пр.взв.'!B$7:H$139,6,FALSE)</f>
        <v>0</v>
      </c>
      <c r="H16" s="553" t="str">
        <f>VLOOKUP(B16,'пр.взв.'!B$7:H$151,7,FALSE)</f>
        <v>Леонтьев А.А., Павлов Д.А.</v>
      </c>
      <c r="J16" s="566" t="str">
        <f>_xlfn.IFERROR(LEFT(F16,FIND(",",F16)-1),F16)</f>
        <v>Москва</v>
      </c>
      <c r="K16" s="567">
        <v>1</v>
      </c>
      <c r="L16" s="203">
        <v>11</v>
      </c>
      <c r="M16" s="208" t="s">
        <v>89</v>
      </c>
      <c r="N16" s="200">
        <f>SUMIF($J$4:$J$7,"том",$K$4:$K$7)</f>
        <v>0</v>
      </c>
      <c r="O16" s="200">
        <f>SUMIF($I$8:$J$9,"том",$K$6:$K$9)</f>
        <v>0</v>
      </c>
      <c r="P16" s="201">
        <f>SUMIF($J$10:$J$13,"том",$K$10:$K$13)</f>
        <v>0</v>
      </c>
      <c r="Q16" s="201">
        <f>SUMIF($J$14:$J$17,"том",$K$14:$K$17)</f>
        <v>0</v>
      </c>
      <c r="S16" s="204"/>
      <c r="T16" s="218"/>
      <c r="U16" s="205"/>
      <c r="V16" s="205"/>
      <c r="W16" s="206"/>
      <c r="X16" s="206"/>
    </row>
    <row r="17" spans="1:24" ht="11.25" customHeight="1" thickBot="1">
      <c r="A17" s="541"/>
      <c r="B17" s="518"/>
      <c r="C17" s="519"/>
      <c r="D17" s="520"/>
      <c r="E17" s="521"/>
      <c r="F17" s="288"/>
      <c r="G17" s="516"/>
      <c r="H17" s="553"/>
      <c r="J17" s="566"/>
      <c r="K17" s="567"/>
      <c r="L17" s="202">
        <v>12</v>
      </c>
      <c r="M17" s="208" t="s">
        <v>90</v>
      </c>
      <c r="N17" s="200">
        <f>SUMIF($J$4:$J$7,"",$K$4:$K$7)</f>
        <v>0</v>
      </c>
      <c r="O17" s="200">
        <f>SUMIF($I$8:$J$9,"т",$K$6:$K$9)</f>
        <v>0</v>
      </c>
      <c r="P17" s="201">
        <f>SUMIF($J$10:$J$13,"",$K$10:$K$13)</f>
        <v>0</v>
      </c>
      <c r="Q17" s="201">
        <f>SUMIF($J$14:$J$17,"",$K$14:$K$17)</f>
        <v>0</v>
      </c>
      <c r="S17" s="207"/>
      <c r="T17" s="218"/>
      <c r="U17" s="205"/>
      <c r="V17" s="205"/>
      <c r="W17" s="206"/>
      <c r="X17" s="206"/>
    </row>
    <row r="18" spans="1:24" ht="11.25" customHeight="1" thickBot="1">
      <c r="A18" s="522" t="s">
        <v>308</v>
      </c>
      <c r="B18" s="518">
        <f>'пр.хода'!AM25</f>
        <v>47</v>
      </c>
      <c r="C18" s="519" t="str">
        <f>VLOOKUP(B18,'пр.взв.'!B$7:H$134,2,FALSE)</f>
        <v>МОТОРКИН Андрей Владимирович</v>
      </c>
      <c r="D18" s="520" t="str">
        <f>VLOOKUP(B18,'пр.взв.'!B$7:H$134,3,FALSE)</f>
        <v>19.07.80 мсмк</v>
      </c>
      <c r="E18" s="521" t="str">
        <f>VLOOKUP(B18,'пр.взв.'!B$7:H$134,4,FALSE)</f>
        <v>ЦФО</v>
      </c>
      <c r="F18" s="288" t="str">
        <f>VLOOKUP(B18,'пр.взв.'!B$7:H$142,5,FALSE)</f>
        <v>Брянская Брянск Д</v>
      </c>
      <c r="G18" s="516" t="str">
        <f>VLOOKUP(B18,'пр.взв.'!B$7:H$139,6,FALSE)</f>
        <v> </v>
      </c>
      <c r="H18" s="553" t="str">
        <f>VLOOKUP(B18,'пр.взв.'!B$7:H$151,7,FALSE)</f>
        <v>Хотмиров СЗ,  </v>
      </c>
      <c r="L18" s="209"/>
      <c r="M18" s="210"/>
      <c r="N18" s="211">
        <f>SUM(N6:N17)</f>
        <v>0</v>
      </c>
      <c r="O18" s="211">
        <f>SUM(O6:O17)</f>
        <v>0</v>
      </c>
      <c r="P18" s="211">
        <f>SUM(P6:P17)</f>
        <v>0</v>
      </c>
      <c r="Q18" s="211">
        <f>SUM(Q6:Q17)</f>
        <v>0</v>
      </c>
      <c r="S18" s="219"/>
      <c r="T18" s="220"/>
      <c r="U18" s="211">
        <f>SUM(U6:U17)</f>
        <v>1</v>
      </c>
      <c r="V18" s="211">
        <f>SUM(V6:V17)</f>
        <v>1</v>
      </c>
      <c r="W18" s="211">
        <f>SUM(W6:W17)</f>
        <v>2</v>
      </c>
      <c r="X18" s="211">
        <f>SUM(X6:X17)</f>
        <v>2</v>
      </c>
    </row>
    <row r="19" spans="1:8" ht="11.25" customHeight="1">
      <c r="A19" s="522"/>
      <c r="B19" s="518"/>
      <c r="C19" s="519"/>
      <c r="D19" s="520"/>
      <c r="E19" s="521"/>
      <c r="F19" s="288"/>
      <c r="G19" s="516"/>
      <c r="H19" s="553"/>
    </row>
    <row r="20" spans="1:8" ht="11.25" customHeight="1">
      <c r="A20" s="522" t="s">
        <v>56</v>
      </c>
      <c r="B20" s="518">
        <f>'пр.хода'!AM26</f>
        <v>46</v>
      </c>
      <c r="C20" s="519" t="str">
        <f>VLOOKUP(B20,'пр.взв.'!B$7:H$134,2,FALSE)</f>
        <v>МОШЕНКО Никита Валерьевич</v>
      </c>
      <c r="D20" s="520" t="str">
        <f>VLOOKUP(B20,'пр.взв.'!B$7:H$134,3,FALSE)</f>
        <v>27.12.90, МС</v>
      </c>
      <c r="E20" s="521" t="str">
        <f>VLOOKUP(B20,'пр.взв.'!B$7:H$134,4,FALSE)</f>
        <v>МОС</v>
      </c>
      <c r="F20" s="288" t="str">
        <f>VLOOKUP(B20,'пр.взв.'!B$7:H$142,5,FALSE)</f>
        <v>Москва, Д</v>
      </c>
      <c r="G20" s="516">
        <f>VLOOKUP(B20,'пр.взв.'!B$7:H$139,6,FALSE)</f>
        <v>0</v>
      </c>
      <c r="H20" s="553" t="str">
        <f>VLOOKUP(B20,'пр.взв.'!B$7:H$151,7,FALSE)</f>
        <v>Никитин А.М., Франковский В.В.</v>
      </c>
    </row>
    <row r="21" spans="1:8" ht="11.25" customHeight="1">
      <c r="A21" s="522"/>
      <c r="B21" s="518"/>
      <c r="C21" s="519"/>
      <c r="D21" s="520"/>
      <c r="E21" s="521"/>
      <c r="F21" s="288"/>
      <c r="G21" s="516"/>
      <c r="H21" s="553"/>
    </row>
    <row r="22" spans="1:8" ht="11.25" customHeight="1">
      <c r="A22" s="522" t="s">
        <v>62</v>
      </c>
      <c r="B22" s="518">
        <f>'пр.хода'!AM20</f>
        <v>41</v>
      </c>
      <c r="C22" s="519" t="str">
        <f>VLOOKUP(B22,'пр.взв.'!B$7:H$134,2,FALSE)</f>
        <v>ЛЕБЕДЕВ Георгий Андреевич</v>
      </c>
      <c r="D22" s="520" t="str">
        <f>VLOOKUP(B22,'пр.взв.'!B$7:H$134,3,FALSE)</f>
        <v>12.07.91. мсмк</v>
      </c>
      <c r="E22" s="521" t="str">
        <f>VLOOKUP(B22,'пр.взв.'!B$7:H$134,4,FALSE)</f>
        <v>ПФО</v>
      </c>
      <c r="F22" s="288" t="str">
        <f>VLOOKUP(B22,'пр.взв.'!B$7:H$142,5,FALSE)</f>
        <v>Пензенская, Пенза, Д</v>
      </c>
      <c r="G22" s="516">
        <f>VLOOKUP(B22,'пр.взв.'!B$7:H$139,6,FALSE)</f>
        <v>0</v>
      </c>
      <c r="H22" s="553" t="str">
        <f>VLOOKUP(B22,'пр.взв.'!B$7:H$151,7,FALSE)</f>
        <v>Гритчин В.В., Мялькин ВВ</v>
      </c>
    </row>
    <row r="23" spans="1:8" ht="11.25" customHeight="1">
      <c r="A23" s="522"/>
      <c r="B23" s="518"/>
      <c r="C23" s="519"/>
      <c r="D23" s="520"/>
      <c r="E23" s="521"/>
      <c r="F23" s="288"/>
      <c r="G23" s="516"/>
      <c r="H23" s="553"/>
    </row>
    <row r="24" spans="1:8" ht="11.25" customHeight="1">
      <c r="A24" s="543" t="str">
        <f>$A$22</f>
        <v>9-12</v>
      </c>
      <c r="B24" s="518">
        <f>'пр.хода'!AM21</f>
        <v>26</v>
      </c>
      <c r="C24" s="519" t="str">
        <f>VLOOKUP(B24,'пр.взв.'!B$7:H$134,2,FALSE)</f>
        <v>СУХОГУЗОВ Иван Сергеевич</v>
      </c>
      <c r="D24" s="520" t="str">
        <f>VLOOKUP(B24,'пр.взв.'!B$7:H$134,3,FALSE)</f>
        <v>19.02.92, МС</v>
      </c>
      <c r="E24" s="521" t="str">
        <f>VLOOKUP(B24,'пр.взв.'!B$7:H$134,4,FALSE)</f>
        <v>УФО</v>
      </c>
      <c r="F24" s="288" t="str">
        <f>VLOOKUP(B24,'пр.взв.'!B$7:H$142,5,FALSE)</f>
        <v>Свердловская, В.Пышма, Д</v>
      </c>
      <c r="G24" s="516">
        <f>VLOOKUP(B24,'пр.взв.'!B$7:H$139,6,FALSE)</f>
        <v>0</v>
      </c>
      <c r="H24" s="553" t="str">
        <f>VLOOKUP(B24,'пр.взв.'!B$7:H$151,7,FALSE)</f>
        <v>Стенников ВГ Мельников АН</v>
      </c>
    </row>
    <row r="25" spans="1:8" ht="11.25" customHeight="1">
      <c r="A25" s="544"/>
      <c r="B25" s="518"/>
      <c r="C25" s="519"/>
      <c r="D25" s="520"/>
      <c r="E25" s="521"/>
      <c r="F25" s="288"/>
      <c r="G25" s="516"/>
      <c r="H25" s="553"/>
    </row>
    <row r="26" spans="1:8" ht="11.25" customHeight="1">
      <c r="A26" s="543" t="str">
        <f>$A$22</f>
        <v>9-12</v>
      </c>
      <c r="B26" s="518">
        <f>'пр.хода'!AM22</f>
        <v>11</v>
      </c>
      <c r="C26" s="519" t="str">
        <f>VLOOKUP(B26,'пр.взв.'!B$7:H$134,2,FALSE)</f>
        <v>СУХАНОВ Денис Николаевич</v>
      </c>
      <c r="D26" s="520" t="str">
        <f>VLOOKUP(B26,'пр.взв.'!B$7:H$134,3,FALSE)</f>
        <v>22.03.91 мсмк</v>
      </c>
      <c r="E26" s="521" t="str">
        <f>VLOOKUP(B26,'пр.взв.'!B$7:H$134,4,FALSE)</f>
        <v>УФО</v>
      </c>
      <c r="F26" s="288" t="str">
        <f>VLOOKUP(B26,'пр.взв.'!B$7:H$142,5,FALSE)</f>
        <v>Курганская Курган</v>
      </c>
      <c r="G26" s="516" t="str">
        <f>VLOOKUP(B26,'пр.взв.'!B$7:H$139,6,FALSE)</f>
        <v> </v>
      </c>
      <c r="H26" s="553" t="str">
        <f>VLOOKUP(B26,'пр.взв.'!B$7:H$151,7,FALSE)</f>
        <v>Стенников МГ</v>
      </c>
    </row>
    <row r="27" spans="1:8" ht="11.25" customHeight="1">
      <c r="A27" s="544"/>
      <c r="B27" s="518"/>
      <c r="C27" s="519"/>
      <c r="D27" s="520"/>
      <c r="E27" s="521"/>
      <c r="F27" s="288"/>
      <c r="G27" s="516"/>
      <c r="H27" s="553"/>
    </row>
    <row r="28" spans="1:8" ht="11.25" customHeight="1">
      <c r="A28" s="543" t="str">
        <f>$A$22</f>
        <v>9-12</v>
      </c>
      <c r="B28" s="518">
        <f>'пр.хода'!AM23</f>
        <v>44</v>
      </c>
      <c r="C28" s="519" t="str">
        <f>VLOOKUP(B28,'пр.взв.'!B$7:H$134,2,FALSE)</f>
        <v>РЫБИН Дмитрий Сергеевич</v>
      </c>
      <c r="D28" s="520" t="str">
        <f>VLOOKUP(B28,'пр.взв.'!B$7:H$134,3,FALSE)</f>
        <v>18.08.93 мс</v>
      </c>
      <c r="E28" s="521" t="str">
        <f>VLOOKUP(B28,'пр.взв.'!B$7:H$134,4,FALSE)</f>
        <v>ЦФО</v>
      </c>
      <c r="F28" s="288" t="str">
        <f>VLOOKUP(B28,'пр.взв.'!B$7:H$142,5,FALSE)</f>
        <v>Московская, Дмитров</v>
      </c>
      <c r="G28" s="516">
        <f>VLOOKUP(B28,'пр.взв.'!B$7:H$139,6,FALSE)</f>
        <v>0</v>
      </c>
      <c r="H28" s="553" t="str">
        <f>VLOOKUP(B28,'пр.взв.'!B$7:H$151,7,FALSE)</f>
        <v>Храпов АВ</v>
      </c>
    </row>
    <row r="29" spans="1:8" ht="11.25" customHeight="1">
      <c r="A29" s="544"/>
      <c r="B29" s="518"/>
      <c r="C29" s="519"/>
      <c r="D29" s="520"/>
      <c r="E29" s="521"/>
      <c r="F29" s="288"/>
      <c r="G29" s="516"/>
      <c r="H29" s="553"/>
    </row>
    <row r="30" spans="1:8" ht="11.25" customHeight="1">
      <c r="A30" s="522" t="s">
        <v>63</v>
      </c>
      <c r="B30" s="518">
        <f>'пр.хода'!AM15</f>
        <v>21</v>
      </c>
      <c r="C30" s="519" t="str">
        <f>VLOOKUP(B30,'пр.взв.'!B$7:H$134,2,FALSE)</f>
        <v>МАТЕВОСЯН Левон Эдуардович</v>
      </c>
      <c r="D30" s="520" t="str">
        <f>VLOOKUP(B30,'пр.взв.'!B$7:H$134,3,FALSE)</f>
        <v>30.10.1988 мс</v>
      </c>
      <c r="E30" s="521" t="str">
        <f>VLOOKUP(B30,'пр.взв.'!B$7:H$134,4,FALSE)</f>
        <v>ЮФО</v>
      </c>
      <c r="F30" s="288" t="str">
        <f>VLOOKUP(B30,'пр.взв.'!B$7:H$142,5,FALSE)</f>
        <v>Краснодарский край Новоросийск, Д</v>
      </c>
      <c r="G30" s="516">
        <f>VLOOKUP(B30,'пр.взв.'!B$7:H$139,6,FALSE)</f>
        <v>0</v>
      </c>
      <c r="H30" s="553" t="str">
        <f>VLOOKUP(B30,'пр.взв.'!B$7:H$151,7,FALSE)</f>
        <v>Дученко ВФ Гарькуша АВ</v>
      </c>
    </row>
    <row r="31" spans="1:8" ht="11.25" customHeight="1">
      <c r="A31" s="522"/>
      <c r="B31" s="518"/>
      <c r="C31" s="519"/>
      <c r="D31" s="520"/>
      <c r="E31" s="521"/>
      <c r="F31" s="288"/>
      <c r="G31" s="516"/>
      <c r="H31" s="553"/>
    </row>
    <row r="32" spans="1:8" ht="11.25" customHeight="1">
      <c r="A32" s="522" t="s">
        <v>63</v>
      </c>
      <c r="B32" s="518">
        <f>'пр.хода'!AM16</f>
        <v>38</v>
      </c>
      <c r="C32" s="519" t="str">
        <f>VLOOKUP(B32,'пр.взв.'!B$7:H$134,2,FALSE)</f>
        <v>ДЕМЬЯНЕНКО Сергей Александрович</v>
      </c>
      <c r="D32" s="520" t="str">
        <f>VLOOKUP(B32,'пр.взв.'!B$7:H$134,3,FALSE)</f>
        <v>13.02.92, МС</v>
      </c>
      <c r="E32" s="521" t="str">
        <f>VLOOKUP(B32,'пр.взв.'!B$7:H$134,4,FALSE)</f>
        <v>СФО</v>
      </c>
      <c r="F32" s="288" t="str">
        <f>VLOOKUP(B32,'пр.взв.'!B$7:H$142,5,FALSE)</f>
        <v>Омская, Омск, МО, СибГУФК</v>
      </c>
      <c r="G32" s="516" t="str">
        <f>VLOOKUP(B32,'пр.взв.'!B$7:H$139,6,FALSE)</f>
        <v>009093</v>
      </c>
      <c r="H32" s="553" t="str">
        <f>VLOOKUP(B32,'пр.взв.'!B$7:H$151,7,FALSE)</f>
        <v>Горбунов АВ Бобровский В.А</v>
      </c>
    </row>
    <row r="33" spans="1:8" ht="11.25" customHeight="1">
      <c r="A33" s="522"/>
      <c r="B33" s="518"/>
      <c r="C33" s="519"/>
      <c r="D33" s="520"/>
      <c r="E33" s="521"/>
      <c r="F33" s="288"/>
      <c r="G33" s="516"/>
      <c r="H33" s="553"/>
    </row>
    <row r="34" spans="1:8" ht="11.25" customHeight="1">
      <c r="A34" s="522" t="s">
        <v>63</v>
      </c>
      <c r="B34" s="518">
        <f>'пр.хода'!AM17</f>
        <v>19</v>
      </c>
      <c r="C34" s="519" t="str">
        <f>VLOOKUP(B34,'пр.взв.'!B$7:H$134,2,FALSE)</f>
        <v>ГАЛСТЯН Самвел Мкртичович</v>
      </c>
      <c r="D34" s="520" t="str">
        <f>VLOOKUP(B34,'пр.взв.'!B$7:H$134,3,FALSE)</f>
        <v>22.07.93 мс</v>
      </c>
      <c r="E34" s="521" t="str">
        <f>VLOOKUP(B34,'пр.взв.'!B$7:H$134,4,FALSE)</f>
        <v>ЮФО</v>
      </c>
      <c r="F34" s="288" t="str">
        <f>VLOOKUP(B34,'пр.взв.'!B$7:H$142,5,FALSE)</f>
        <v>Краснодарский, Армавир</v>
      </c>
      <c r="G34" s="516">
        <f>VLOOKUP(B34,'пр.взв.'!B$7:H$139,6,FALSE)</f>
        <v>0</v>
      </c>
      <c r="H34" s="553" t="str">
        <f>VLOOKUP(B34,'пр.взв.'!B$7:H$151,7,FALSE)</f>
        <v>Погосян В.Г.</v>
      </c>
    </row>
    <row r="35" spans="1:8" ht="11.25" customHeight="1">
      <c r="A35" s="522"/>
      <c r="B35" s="518"/>
      <c r="C35" s="519"/>
      <c r="D35" s="520"/>
      <c r="E35" s="521"/>
      <c r="F35" s="288"/>
      <c r="G35" s="516"/>
      <c r="H35" s="553"/>
    </row>
    <row r="36" spans="1:8" ht="11.25" customHeight="1">
      <c r="A36" s="522" t="s">
        <v>63</v>
      </c>
      <c r="B36" s="518">
        <f>'пр.хода'!AM18</f>
        <v>4</v>
      </c>
      <c r="C36" s="519" t="str">
        <f>VLOOKUP(B36,'пр.взв.'!B$7:H$134,2,FALSE)</f>
        <v>ТЫЩЕНКО  Никита Викторович</v>
      </c>
      <c r="D36" s="520" t="str">
        <f>VLOOKUP(B36,'пр.взв.'!B$7:H$134,3,FALSE)</f>
        <v>13.04.1990, мс</v>
      </c>
      <c r="E36" s="521" t="str">
        <f>VLOOKUP(B36,'пр.взв.'!B$7:H$134,4,FALSE)</f>
        <v>СЕВ</v>
      </c>
      <c r="F36" s="288" t="str">
        <f>VLOOKUP(B36,'пр.взв.'!B$7:H$142,5,FALSE)</f>
        <v>Севастополь</v>
      </c>
      <c r="G36" s="516">
        <f>VLOOKUP(B36,'пр.взв.'!B$7:H$139,6,FALSE)</f>
        <v>0</v>
      </c>
      <c r="H36" s="553" t="str">
        <f>VLOOKUP(B36,'пр.взв.'!B$7:H$151,7,FALSE)</f>
        <v>Кондратов В.Л.</v>
      </c>
    </row>
    <row r="37" spans="1:8" ht="11.25" customHeight="1">
      <c r="A37" s="522"/>
      <c r="B37" s="518"/>
      <c r="C37" s="519"/>
      <c r="D37" s="520"/>
      <c r="E37" s="521"/>
      <c r="F37" s="288"/>
      <c r="G37" s="516"/>
      <c r="H37" s="553"/>
    </row>
    <row r="38" spans="1:8" ht="11.25" customHeight="1">
      <c r="A38" s="522" t="s">
        <v>305</v>
      </c>
      <c r="B38" s="518">
        <f>'пр.хода'!AM10</f>
        <v>29</v>
      </c>
      <c r="C38" s="519" t="str">
        <f>VLOOKUP(B38,'пр.взв.'!B$7:H$134,2,FALSE)</f>
        <v>ГЕРЕКОВ Рустам Магомедрасулович</v>
      </c>
      <c r="D38" s="520" t="str">
        <f>VLOOKUP(B38,'пр.взв.'!B$7:H$134,3,FALSE)</f>
        <v>25.07.95, МС</v>
      </c>
      <c r="E38" s="521" t="str">
        <f>VLOOKUP(B38,'пр.взв.'!B$7:H$134,4,FALSE)</f>
        <v>СПБ</v>
      </c>
      <c r="F38" s="288" t="str">
        <f>VLOOKUP(B38,'пр.взв.'!B$7:H$142,5,FALSE)</f>
        <v>С-Петербург, МО</v>
      </c>
      <c r="G38" s="516">
        <f>VLOOKUP(B38,'пр.взв.'!B$7:H$139,6,FALSE)</f>
        <v>0</v>
      </c>
      <c r="H38" s="553" t="str">
        <f>VLOOKUP(B38,'пр.взв.'!B$7:H$151,7,FALSE)</f>
        <v>Болов В.В.</v>
      </c>
    </row>
    <row r="39" spans="1:8" ht="11.25" customHeight="1">
      <c r="A39" s="522"/>
      <c r="B39" s="518"/>
      <c r="C39" s="519"/>
      <c r="D39" s="520"/>
      <c r="E39" s="521"/>
      <c r="F39" s="288"/>
      <c r="G39" s="516"/>
      <c r="H39" s="553"/>
    </row>
    <row r="40" spans="1:8" ht="11.25" customHeight="1">
      <c r="A40" s="522" t="s">
        <v>305</v>
      </c>
      <c r="B40" s="518">
        <f>'пр.хода'!AM11</f>
        <v>30</v>
      </c>
      <c r="C40" s="519" t="str">
        <f>VLOOKUP(B40,'пр.взв.'!B$7:H$134,2,FALSE)</f>
        <v>ЕРМОЛАЕВ Сергей Алексеевич </v>
      </c>
      <c r="D40" s="520" t="str">
        <f>VLOOKUP(B40,'пр.взв.'!B$7:H$134,3,FALSE)</f>
        <v>14.07.89 мс</v>
      </c>
      <c r="E40" s="521" t="str">
        <f>VLOOKUP(B40,'пр.взв.'!B$7:H$134,4,FALSE)</f>
        <v>КФО</v>
      </c>
      <c r="F40" s="288" t="str">
        <f>VLOOKUP(B40,'пр.взв.'!B$7:H$142,5,FALSE)</f>
        <v>Р. Крым, Феодосия</v>
      </c>
      <c r="G40" s="516">
        <f>VLOOKUP(B40,'пр.взв.'!B$7:H$139,6,FALSE)</f>
        <v>0</v>
      </c>
      <c r="H40" s="553" t="str">
        <f>VLOOKUP(B40,'пр.взв.'!B$7:H$151,7,FALSE)</f>
        <v>Татаренко С.Е.</v>
      </c>
    </row>
    <row r="41" spans="1:8" ht="11.25" customHeight="1">
      <c r="A41" s="522"/>
      <c r="B41" s="518"/>
      <c r="C41" s="519"/>
      <c r="D41" s="520"/>
      <c r="E41" s="521"/>
      <c r="F41" s="288"/>
      <c r="G41" s="516"/>
      <c r="H41" s="553"/>
    </row>
    <row r="42" spans="1:8" ht="11.25" customHeight="1" hidden="1">
      <c r="A42" s="522" t="s">
        <v>66</v>
      </c>
      <c r="B42" s="518">
        <f>'пр.хода'!AM12</f>
        <v>59</v>
      </c>
      <c r="C42" s="519" t="e">
        <f>VLOOKUP(B42,'пр.взв.'!B$7:H$134,2,FALSE)</f>
        <v>#N/A</v>
      </c>
      <c r="D42" s="520" t="e">
        <f>VLOOKUP(B42,'пр.взв.'!B$7:H$134,3,FALSE)</f>
        <v>#N/A</v>
      </c>
      <c r="E42" s="521" t="e">
        <f>VLOOKUP(B42,'пр.взв.'!B$7:H$134,4,FALSE)</f>
        <v>#N/A</v>
      </c>
      <c r="F42" s="288" t="e">
        <f>VLOOKUP(B42,'пр.взв.'!B$7:H$142,5,FALSE)</f>
        <v>#N/A</v>
      </c>
      <c r="G42" s="516" t="e">
        <f>VLOOKUP(B42,'пр.взв.'!B$7:H$139,6,FALSE)</f>
        <v>#N/A</v>
      </c>
      <c r="H42" s="553" t="e">
        <f>VLOOKUP(B42,'пр.взв.'!B$7:H$151,7,FALSE)</f>
        <v>#N/A</v>
      </c>
    </row>
    <row r="43" spans="1:8" ht="11.25" customHeight="1" hidden="1">
      <c r="A43" s="522"/>
      <c r="B43" s="518"/>
      <c r="C43" s="519"/>
      <c r="D43" s="520"/>
      <c r="E43" s="521"/>
      <c r="F43" s="288"/>
      <c r="G43" s="516"/>
      <c r="H43" s="553"/>
    </row>
    <row r="44" spans="1:8" ht="11.25" customHeight="1" hidden="1">
      <c r="A44" s="522" t="s">
        <v>66</v>
      </c>
      <c r="B44" s="518">
        <f>'пр.хода'!AM13</f>
        <v>60</v>
      </c>
      <c r="C44" s="519" t="e">
        <f>VLOOKUP(B44,'пр.взв.'!B$7:H$134,2,FALSE)</f>
        <v>#N/A</v>
      </c>
      <c r="D44" s="520" t="e">
        <f>VLOOKUP(B44,'пр.взв.'!B$7:H$134,3,FALSE)</f>
        <v>#N/A</v>
      </c>
      <c r="E44" s="521" t="e">
        <f>VLOOKUP(B44,'пр.взв.'!B$7:H$134,4,FALSE)</f>
        <v>#N/A</v>
      </c>
      <c r="F44" s="288" t="e">
        <f>VLOOKUP(B44,'пр.взв.'!B$7:H$142,5,FALSE)</f>
        <v>#N/A</v>
      </c>
      <c r="G44" s="516" t="e">
        <f>VLOOKUP(B44,'пр.взв.'!B$7:H$139,6,FALSE)</f>
        <v>#N/A</v>
      </c>
      <c r="H44" s="553" t="e">
        <f>VLOOKUP(B44,'пр.взв.'!B$7:H$151,7,FALSE)</f>
        <v>#N/A</v>
      </c>
    </row>
    <row r="45" spans="1:8" ht="11.25" customHeight="1" hidden="1">
      <c r="A45" s="522"/>
      <c r="B45" s="518"/>
      <c r="C45" s="519"/>
      <c r="D45" s="520"/>
      <c r="E45" s="521"/>
      <c r="F45" s="288"/>
      <c r="G45" s="516"/>
      <c r="H45" s="553"/>
    </row>
    <row r="46" spans="1:8" ht="11.25" customHeight="1">
      <c r="A46" s="522" t="s">
        <v>309</v>
      </c>
      <c r="B46" s="518">
        <f>'пр.хода'!AL11</f>
        <v>33</v>
      </c>
      <c r="C46" s="519" t="str">
        <f>VLOOKUP(B46,'пр.взв.'!B$7:H$134,2,FALSE)</f>
        <v>ФЕТИСОВ Алексей Игоревич</v>
      </c>
      <c r="D46" s="520" t="str">
        <f>VLOOKUP(B46,'пр.взв.'!B$7:H$134,3,FALSE)</f>
        <v>09.04.90 кмс</v>
      </c>
      <c r="E46" s="521" t="str">
        <f>VLOOKUP(B46,'пр.взв.'!B$7:H$134,4,FALSE)</f>
        <v>ЦФО</v>
      </c>
      <c r="F46" s="288" t="str">
        <f>VLOOKUP(B46,'пр.взв.'!B$7:H$142,5,FALSE)</f>
        <v>Московская, Дмитров</v>
      </c>
      <c r="G46" s="516">
        <f>VLOOKUP(B46,'пр.взв.'!B$7:H$139,6,FALSE)</f>
        <v>0</v>
      </c>
      <c r="H46" s="553" t="str">
        <f>VLOOKUP(B46,'пр.взв.'!B$7:H$151,7,FALSE)</f>
        <v>Храпов АВ</v>
      </c>
    </row>
    <row r="47" spans="1:8" ht="11.25" customHeight="1">
      <c r="A47" s="522"/>
      <c r="B47" s="518"/>
      <c r="C47" s="519"/>
      <c r="D47" s="520"/>
      <c r="E47" s="521"/>
      <c r="F47" s="288"/>
      <c r="G47" s="516"/>
      <c r="H47" s="553"/>
    </row>
    <row r="48" spans="1:8" ht="11.25" customHeight="1">
      <c r="A48" s="517" t="s">
        <v>309</v>
      </c>
      <c r="B48" s="518">
        <f>'пр.хода'!AL29</f>
        <v>50</v>
      </c>
      <c r="C48" s="519" t="str">
        <f>VLOOKUP(B48,'пр.взв.'!B$7:H$134,2,FALSE)</f>
        <v>ПРИКАЗЧИКОВ Владимир Александрович</v>
      </c>
      <c r="D48" s="520" t="str">
        <f>VLOOKUP(B48,'пр.взв.'!B$7:H$134,3,FALSE)</f>
        <v>06.11.87, ЗМС</v>
      </c>
      <c r="E48" s="521" t="str">
        <f>VLOOKUP(B48,'пр.взв.'!B$7:H$134,4,FALSE)</f>
        <v>МОС</v>
      </c>
      <c r="F48" s="288" t="str">
        <f>VLOOKUP(B48,'пр.взв.'!B$7:H$142,5,FALSE)</f>
        <v>Москва, ВС</v>
      </c>
      <c r="G48" s="516">
        <f>VLOOKUP(B48,'пр.взв.'!B$7:H$139,6,FALSE)</f>
        <v>0</v>
      </c>
      <c r="H48" s="553" t="str">
        <f>VLOOKUP(B48,'пр.взв.'!B$7:H$151,7,FALSE)</f>
        <v>Леонтьев А.А., Павлов Д.А.</v>
      </c>
    </row>
    <row r="49" spans="1:8" ht="11.25" customHeight="1">
      <c r="A49" s="517"/>
      <c r="B49" s="518"/>
      <c r="C49" s="519"/>
      <c r="D49" s="520"/>
      <c r="E49" s="521"/>
      <c r="F49" s="288"/>
      <c r="G49" s="516"/>
      <c r="H49" s="553"/>
    </row>
    <row r="50" spans="1:8" ht="11.25" customHeight="1">
      <c r="A50" s="517" t="s">
        <v>309</v>
      </c>
      <c r="B50" s="518">
        <f>'пр.хода'!AL20</f>
        <v>23</v>
      </c>
      <c r="C50" s="519" t="str">
        <f>VLOOKUP(B50,'пр.взв.'!B$7:H$134,2,FALSE)</f>
        <v>БУДИМИРОВ Алексей Евгеньевич</v>
      </c>
      <c r="D50" s="520" t="str">
        <f>VLOOKUP(B50,'пр.взв.'!B$7:H$134,3,FALSE)</f>
        <v>06.03.90 мс</v>
      </c>
      <c r="E50" s="521" t="str">
        <f>VLOOKUP(B50,'пр.взв.'!B$7:H$134,4,FALSE)</f>
        <v>ПФО</v>
      </c>
      <c r="F50" s="288" t="str">
        <f>VLOOKUP(B50,'пр.взв.'!B$7:H$142,5,FALSE)</f>
        <v> Пензенская Пенза Д</v>
      </c>
      <c r="G50" s="516" t="str">
        <f>VLOOKUP(B50,'пр.взв.'!B$7:H$139,6,FALSE)</f>
        <v> </v>
      </c>
      <c r="H50" s="553" t="str">
        <f>VLOOKUP(B50,'пр.взв.'!B$7:H$151,7,FALSE)</f>
        <v>Дуднев ВВ</v>
      </c>
    </row>
    <row r="51" spans="1:8" ht="11.25" customHeight="1">
      <c r="A51" s="517"/>
      <c r="B51" s="518"/>
      <c r="C51" s="519"/>
      <c r="D51" s="520"/>
      <c r="E51" s="521"/>
      <c r="F51" s="288"/>
      <c r="G51" s="516"/>
      <c r="H51" s="553"/>
    </row>
    <row r="52" spans="1:8" ht="11.25" customHeight="1">
      <c r="A52" s="517" t="s">
        <v>309</v>
      </c>
      <c r="B52" s="518">
        <f>'пр.хода'!AL39</f>
        <v>40</v>
      </c>
      <c r="C52" s="519" t="str">
        <f>VLOOKUP(B52,'пр.взв.'!B$7:H$134,2,FALSE)</f>
        <v>КУРЖЕВ Али Рамазанович</v>
      </c>
      <c r="D52" s="520" t="str">
        <f>VLOOKUP(B52,'пр.взв.'!B$7:H$134,3,FALSE)</f>
        <v>28.04.89, МСМК</v>
      </c>
      <c r="E52" s="521" t="str">
        <f>VLOOKUP(B52,'пр.взв.'!B$7:H$134,4,FALSE)</f>
        <v>ЦФО</v>
      </c>
      <c r="F52" s="288" t="str">
        <f>VLOOKUP(B52,'пр.взв.'!B$7:H$142,5,FALSE)</f>
        <v>Рязанская, Рязань, Д</v>
      </c>
      <c r="G52" s="516">
        <f>VLOOKUP(B52,'пр.взв.'!B$7:H$139,6,FALSE)</f>
        <v>0</v>
      </c>
      <c r="H52" s="553" t="str">
        <f>VLOOKUP(B52,'пр.взв.'!B$7:H$151,7,FALSE)</f>
        <v>Фофанов К.Н.</v>
      </c>
    </row>
    <row r="53" spans="1:8" ht="11.25" customHeight="1">
      <c r="A53" s="517"/>
      <c r="B53" s="518"/>
      <c r="C53" s="519"/>
      <c r="D53" s="520"/>
      <c r="E53" s="521"/>
      <c r="F53" s="288"/>
      <c r="G53" s="516"/>
      <c r="H53" s="553"/>
    </row>
    <row r="54" spans="1:8" ht="11.25" customHeight="1">
      <c r="A54" s="522" t="s">
        <v>306</v>
      </c>
      <c r="B54" s="518">
        <f>'пр.хода'!AK11</f>
        <v>25</v>
      </c>
      <c r="C54" s="519" t="str">
        <f>VLOOKUP(B54,'пр.взв.'!B$7:H$134,2,FALSE)</f>
        <v>КАЗАРЯН Тигран Седракович</v>
      </c>
      <c r="D54" s="520" t="str">
        <f>VLOOKUP(B54,'пр.взв.'!B$7:H$134,3,FALSE)</f>
        <v>14.02.87 мс</v>
      </c>
      <c r="E54" s="521" t="str">
        <f>VLOOKUP(B54,'пр.взв.'!B$7:H$134,4,FALSE)</f>
        <v>КФО</v>
      </c>
      <c r="F54" s="288" t="str">
        <f>VLOOKUP(B54,'пр.взв.'!B$7:H$142,5,FALSE)</f>
        <v>Р. Крым, Симферополь</v>
      </c>
      <c r="G54" s="516">
        <f>VLOOKUP(B54,'пр.взв.'!B$7:H$139,6,FALSE)</f>
        <v>0</v>
      </c>
      <c r="H54" s="553" t="str">
        <f>VLOOKUP(B54,'пр.взв.'!B$7:H$151,7,FALSE)</f>
        <v>Щелканов ВВ</v>
      </c>
    </row>
    <row r="55" spans="1:8" ht="11.25" customHeight="1">
      <c r="A55" s="522"/>
      <c r="B55" s="518"/>
      <c r="C55" s="519"/>
      <c r="D55" s="520"/>
      <c r="E55" s="521"/>
      <c r="F55" s="288"/>
      <c r="G55" s="516"/>
      <c r="H55" s="553"/>
    </row>
    <row r="56" spans="1:8" ht="11.25" customHeight="1">
      <c r="A56" s="517" t="s">
        <v>306</v>
      </c>
      <c r="B56" s="518">
        <f>'пр.хода'!AK29</f>
        <v>42</v>
      </c>
      <c r="C56" s="519" t="str">
        <f>VLOOKUP(B56,'пр.взв.'!B$7:H$134,2,FALSE)</f>
        <v>ПАХОМОВ Иван Геннадьевич</v>
      </c>
      <c r="D56" s="520" t="str">
        <f>VLOOKUP(B56,'пр.взв.'!B$7:H$134,3,FALSE)</f>
        <v>03.10.94, МС</v>
      </c>
      <c r="E56" s="521" t="str">
        <f>VLOOKUP(B56,'пр.взв.'!B$7:H$134,4,FALSE)</f>
        <v>ЦФО</v>
      </c>
      <c r="F56" s="288" t="str">
        <f>VLOOKUP(B56,'пр.взв.'!B$7:H$142,5,FALSE)</f>
        <v>Ярославская, Ярославль</v>
      </c>
      <c r="G56" s="516">
        <f>VLOOKUP(B56,'пр.взв.'!B$7:H$139,6,FALSE)</f>
        <v>0</v>
      </c>
      <c r="H56" s="553" t="str">
        <f>VLOOKUP(B56,'пр.взв.'!B$7:H$151,7,FALSE)</f>
        <v>Хореев Ю.А.</v>
      </c>
    </row>
    <row r="57" spans="1:8" ht="11.25" customHeight="1">
      <c r="A57" s="517"/>
      <c r="B57" s="518"/>
      <c r="C57" s="519"/>
      <c r="D57" s="520"/>
      <c r="E57" s="521"/>
      <c r="F57" s="288"/>
      <c r="G57" s="516"/>
      <c r="H57" s="553"/>
    </row>
    <row r="58" spans="1:8" ht="11.25" customHeight="1">
      <c r="A58" s="517" t="s">
        <v>306</v>
      </c>
      <c r="B58" s="518">
        <f>'пр.хода'!AK20</f>
        <v>7</v>
      </c>
      <c r="C58" s="519" t="str">
        <f>VLOOKUP(B58,'пр.взв.'!B$7:H$134,2,FALSE)</f>
        <v>АДАЕВ Исмаил Залимханович</v>
      </c>
      <c r="D58" s="520" t="str">
        <f>VLOOKUP(B58,'пр.взв.'!B$7:H$134,3,FALSE)</f>
        <v>09.04.94, КМС</v>
      </c>
      <c r="E58" s="521" t="str">
        <f>VLOOKUP(B58,'пр.взв.'!B$7:H$134,4,FALSE)</f>
        <v>УФО</v>
      </c>
      <c r="F58" s="288" t="str">
        <f>VLOOKUP(B58,'пр.взв.'!B$7:H$142,5,FALSE)</f>
        <v>ХМАО-Югра, Радужный</v>
      </c>
      <c r="G58" s="516">
        <f>VLOOKUP(B58,'пр.взв.'!B$7:H$139,6,FALSE)</f>
        <v>0</v>
      </c>
      <c r="H58" s="553" t="str">
        <f>VLOOKUP(B58,'пр.взв.'!B$7:H$151,7,FALSE)</f>
        <v>Акаев Р.А., Саркисян А.А.</v>
      </c>
    </row>
    <row r="59" spans="1:8" ht="11.25" customHeight="1">
      <c r="A59" s="517"/>
      <c r="B59" s="518"/>
      <c r="C59" s="519"/>
      <c r="D59" s="520"/>
      <c r="E59" s="521"/>
      <c r="F59" s="288"/>
      <c r="G59" s="516"/>
      <c r="H59" s="553"/>
    </row>
    <row r="60" spans="1:8" ht="11.25" customHeight="1">
      <c r="A60" s="517" t="s">
        <v>306</v>
      </c>
      <c r="B60" s="518">
        <f>'пр.хода'!AK39</f>
        <v>24</v>
      </c>
      <c r="C60" s="519" t="str">
        <f>VLOOKUP(B60,'пр.взв.'!B$7:H$134,2,FALSE)</f>
        <v>ХАРИТОНОВ Алексей Александрович</v>
      </c>
      <c r="D60" s="520" t="str">
        <f>VLOOKUP(B60,'пр.взв.'!B$7:H$134,3,FALSE)</f>
        <v>02.11.78 змс</v>
      </c>
      <c r="E60" s="521" t="str">
        <f>VLOOKUP(B60,'пр.взв.'!B$7:H$134,4,FALSE)</f>
        <v>ПФО</v>
      </c>
      <c r="F60" s="288" t="str">
        <f>VLOOKUP(B60,'пр.взв.'!B$7:H$142,5,FALSE)</f>
        <v>Пензенская, Пенза, Д</v>
      </c>
      <c r="G60" s="516">
        <f>VLOOKUP(B60,'пр.взв.'!B$7:H$139,6,FALSE)</f>
        <v>0</v>
      </c>
      <c r="H60" s="553" t="str">
        <f>VLOOKUP(B60,'пр.взв.'!B$7:H$151,7,FALSE)</f>
        <v>Гритчин В.В.</v>
      </c>
    </row>
    <row r="61" spans="1:8" ht="11.25" customHeight="1">
      <c r="A61" s="517"/>
      <c r="B61" s="518"/>
      <c r="C61" s="519"/>
      <c r="D61" s="520"/>
      <c r="E61" s="521"/>
      <c r="F61" s="288"/>
      <c r="G61" s="516"/>
      <c r="H61" s="553"/>
    </row>
    <row r="62" spans="1:8" ht="12.75" customHeight="1">
      <c r="A62" s="517" t="s">
        <v>306</v>
      </c>
      <c r="B62" s="518">
        <f>'пр.хода'!AK10</f>
        <v>17</v>
      </c>
      <c r="C62" s="519" t="str">
        <f>VLOOKUP(B62,'пр.взв.'!B$7:H$134,2,FALSE)</f>
        <v>КИРИЛЛОВ Никита Викторович</v>
      </c>
      <c r="D62" s="520" t="str">
        <f>VLOOKUP(B62,'пр.взв.'!B$7:H$134,3,FALSE)</f>
        <v>07.06.97, КМС</v>
      </c>
      <c r="E62" s="521" t="str">
        <f>VLOOKUP(B62,'пр.взв.'!B$7:H$134,4,FALSE)</f>
        <v>СФО</v>
      </c>
      <c r="F62" s="288" t="str">
        <f>VLOOKUP(B62,'пр.взв.'!B$7:H$142,5,FALSE)</f>
        <v>Новосибирская, Новосибирск, МО</v>
      </c>
      <c r="G62" s="516">
        <f>VLOOKUP(B62,'пр.взв.'!B$7:H$139,6,FALSE)</f>
        <v>0</v>
      </c>
      <c r="H62" s="553" t="str">
        <f>VLOOKUP(B62,'пр.взв.'!B$7:H$151,7,FALSE)</f>
        <v>Мордвинов А.И.</v>
      </c>
    </row>
    <row r="63" spans="1:8" ht="12.75" customHeight="1">
      <c r="A63" s="517"/>
      <c r="B63" s="518"/>
      <c r="C63" s="519"/>
      <c r="D63" s="520"/>
      <c r="E63" s="521"/>
      <c r="F63" s="288"/>
      <c r="G63" s="516"/>
      <c r="H63" s="553"/>
    </row>
    <row r="64" spans="1:8" ht="12.75" customHeight="1">
      <c r="A64" s="517" t="s">
        <v>306</v>
      </c>
      <c r="B64" s="518">
        <f>'пр.хода'!AK28</f>
        <v>34</v>
      </c>
      <c r="C64" s="519" t="str">
        <f>VLOOKUP(B64,'пр.взв.'!B$7:H$134,2,FALSE)</f>
        <v>ПОЖИДАЕВ Егор Николаевич</v>
      </c>
      <c r="D64" s="520" t="str">
        <f>VLOOKUP(B64,'пр.взв.'!B$7:H$134,3,FALSE)</f>
        <v>18.07.91 кмс</v>
      </c>
      <c r="E64" s="521" t="str">
        <f>VLOOKUP(B64,'пр.взв.'!B$7:H$134,4,FALSE)</f>
        <v>СЗФО</v>
      </c>
      <c r="F64" s="288" t="str">
        <f>VLOOKUP(B64,'пр.взв.'!B$7:H$142,5,FALSE)</f>
        <v>Калининградская  Д</v>
      </c>
      <c r="G64" s="516">
        <f>VLOOKUP(B64,'пр.взв.'!B$7:H$139,6,FALSE)</f>
        <v>0</v>
      </c>
      <c r="H64" s="553" t="str">
        <f>VLOOKUP(B64,'пр.взв.'!B$7:H$151,7,FALSE)</f>
        <v>Ярмолюк В.С.   Ярмолюк Н.С.</v>
      </c>
    </row>
    <row r="65" spans="1:8" ht="12.75" customHeight="1">
      <c r="A65" s="517"/>
      <c r="B65" s="518"/>
      <c r="C65" s="519"/>
      <c r="D65" s="520"/>
      <c r="E65" s="521"/>
      <c r="F65" s="288"/>
      <c r="G65" s="516"/>
      <c r="H65" s="553"/>
    </row>
    <row r="66" spans="1:8" ht="11.25" customHeight="1">
      <c r="A66" s="517" t="s">
        <v>306</v>
      </c>
      <c r="B66" s="518">
        <f>'пр.хода'!AK19</f>
        <v>3</v>
      </c>
      <c r="C66" s="519" t="str">
        <f>VLOOKUP(B66,'пр.взв.'!B$7:H$134,2,FALSE)</f>
        <v>ВИНОГРАДОВ Иван Владимирович</v>
      </c>
      <c r="D66" s="520" t="str">
        <f>VLOOKUP(B66,'пр.взв.'!B$7:H$134,3,FALSE)</f>
        <v>28.02.90, МС</v>
      </c>
      <c r="E66" s="521" t="str">
        <f>VLOOKUP(B66,'пр.взв.'!B$7:H$134,4,FALSE)</f>
        <v>ЦФО</v>
      </c>
      <c r="F66" s="288" t="str">
        <f>VLOOKUP(B66,'пр.взв.'!B$7:H$142,5,FALSE)</f>
        <v>Ярославская, Ярославль</v>
      </c>
      <c r="G66" s="516">
        <f>VLOOKUP(B66,'пр.взв.'!B$7:H$139,6,FALSE)</f>
        <v>0</v>
      </c>
      <c r="H66" s="553" t="str">
        <f>VLOOKUP(B66,'пр.взв.'!B$7:H$151,7,FALSE)</f>
        <v>Боков В.Н., Веремеев А.Г.</v>
      </c>
    </row>
    <row r="67" spans="1:8" ht="11.25" customHeight="1">
      <c r="A67" s="517"/>
      <c r="B67" s="518"/>
      <c r="C67" s="519"/>
      <c r="D67" s="520"/>
      <c r="E67" s="521"/>
      <c r="F67" s="288"/>
      <c r="G67" s="516"/>
      <c r="H67" s="553"/>
    </row>
    <row r="68" spans="1:8" ht="11.25" customHeight="1">
      <c r="A68" s="517" t="s">
        <v>306</v>
      </c>
      <c r="B68" s="518">
        <f>'пр.хода'!AK38</f>
        <v>52</v>
      </c>
      <c r="C68" s="519" t="str">
        <f>VLOOKUP(B68,'пр.взв.'!B$7:H$134,2,FALSE)</f>
        <v>МКРДУМЯН Гагик Гайкович</v>
      </c>
      <c r="D68" s="520" t="str">
        <f>VLOOKUP(B68,'пр.взв.'!B$7:H$134,3,FALSE)</f>
        <v>05.06.93 мс</v>
      </c>
      <c r="E68" s="521" t="str">
        <f>VLOOKUP(B68,'пр.взв.'!B$7:H$134,4,FALSE)</f>
        <v>ЮФО</v>
      </c>
      <c r="F68" s="288" t="str">
        <f>VLOOKUP(B68,'пр.взв.'!B$7:H$142,5,FALSE)</f>
        <v>Краснодарский край Армавир, Д</v>
      </c>
      <c r="G68" s="516">
        <f>VLOOKUP(B68,'пр.взв.'!B$7:H$139,6,FALSE)</f>
        <v>0</v>
      </c>
      <c r="H68" s="553" t="str">
        <f>VLOOKUP(B68,'пр.взв.'!B$7:H$151,7,FALSE)</f>
        <v>Погосян ВГ</v>
      </c>
    </row>
    <row r="69" spans="1:8" ht="11.25" customHeight="1">
      <c r="A69" s="517"/>
      <c r="B69" s="518"/>
      <c r="C69" s="519"/>
      <c r="D69" s="520"/>
      <c r="E69" s="521"/>
      <c r="F69" s="288"/>
      <c r="G69" s="516"/>
      <c r="H69" s="553"/>
    </row>
    <row r="70" spans="1:8" ht="11.25" customHeight="1">
      <c r="A70" s="517" t="s">
        <v>306</v>
      </c>
      <c r="B70" s="518">
        <f>'пр.хода'!AK12</f>
        <v>5</v>
      </c>
      <c r="C70" s="519" t="str">
        <f>VLOOKUP(B70,'пр.взв.'!B$7:H$134,2,FALSE)</f>
        <v>ХЛОПЕЦКИЙ Владимир Анатольевич</v>
      </c>
      <c r="D70" s="520" t="str">
        <f>VLOOKUP(B70,'пр.взв.'!B$7:H$134,3,FALSE)</f>
        <v>27.11.87, МС</v>
      </c>
      <c r="E70" s="521" t="str">
        <f>VLOOKUP(B70,'пр.взв.'!B$7:H$134,4,FALSE)</f>
        <v>МОС</v>
      </c>
      <c r="F70" s="288" t="str">
        <f>VLOOKUP(B70,'пр.взв.'!B$7:H$142,5,FALSE)</f>
        <v>Москва, Д</v>
      </c>
      <c r="G70" s="516">
        <f>VLOOKUP(B70,'пр.взв.'!B$7:H$139,6,FALSE)</f>
        <v>0</v>
      </c>
      <c r="H70" s="553" t="str">
        <f>VLOOKUP(B70,'пр.взв.'!B$7:H$151,7,FALSE)</f>
        <v>Леонтьев А.А., Павлов Д.А.</v>
      </c>
    </row>
    <row r="71" spans="1:8" ht="11.25" customHeight="1">
      <c r="A71" s="517"/>
      <c r="B71" s="518"/>
      <c r="C71" s="519"/>
      <c r="D71" s="520"/>
      <c r="E71" s="521"/>
      <c r="F71" s="288"/>
      <c r="G71" s="516"/>
      <c r="H71" s="553"/>
    </row>
    <row r="72" spans="1:8" ht="11.25" customHeight="1">
      <c r="A72" s="517" t="s">
        <v>306</v>
      </c>
      <c r="B72" s="518">
        <f>'пр.хода'!AK30</f>
        <v>22</v>
      </c>
      <c r="C72" s="519" t="str">
        <f>VLOOKUP(B72,'пр.взв.'!B$7:H$134,2,FALSE)</f>
        <v>КОТОВ Максим Сергеевич</v>
      </c>
      <c r="D72" s="520" t="str">
        <f>VLOOKUP(B72,'пр.взв.'!B$7:H$134,3,FALSE)</f>
        <v>16.08.95, мс</v>
      </c>
      <c r="E72" s="521" t="str">
        <f>VLOOKUP(B72,'пр.взв.'!B$7:H$134,4,FALSE)</f>
        <v>ПФО</v>
      </c>
      <c r="F72" s="288" t="str">
        <f>VLOOKUP(B72,'пр.взв.'!B$7:H$142,5,FALSE)</f>
        <v> Пермский, Пермь </v>
      </c>
      <c r="G72" s="516" t="str">
        <f>VLOOKUP(B72,'пр.взв.'!B$7:H$139,6,FALSE)</f>
        <v> </v>
      </c>
      <c r="H72" s="553" t="str">
        <f>VLOOKUP(B72,'пр.взв.'!B$7:H$151,7,FALSE)</f>
        <v>Газеев АГ</v>
      </c>
    </row>
    <row r="73" spans="1:8" ht="11.25" customHeight="1">
      <c r="A73" s="517"/>
      <c r="B73" s="518"/>
      <c r="C73" s="519"/>
      <c r="D73" s="520"/>
      <c r="E73" s="521"/>
      <c r="F73" s="288"/>
      <c r="G73" s="516"/>
      <c r="H73" s="553"/>
    </row>
    <row r="74" spans="1:8" ht="11.25" customHeight="1">
      <c r="A74" s="517" t="s">
        <v>306</v>
      </c>
      <c r="B74" s="518">
        <f>'пр.хода'!AK21</f>
        <v>31</v>
      </c>
      <c r="C74" s="519" t="str">
        <f>VLOOKUP(B74,'пр.взв.'!B$7:H$134,2,FALSE)</f>
        <v>АЙНУЛЛИН Равиль  Жафярович</v>
      </c>
      <c r="D74" s="520" t="str">
        <f>VLOOKUP(B74,'пр.взв.'!B$7:H$134,3,FALSE)</f>
        <v>17.06.89, МС</v>
      </c>
      <c r="E74" s="521" t="str">
        <f>VLOOKUP(B74,'пр.взв.'!B$7:H$134,4,FALSE)</f>
        <v>МОС</v>
      </c>
      <c r="F74" s="288" t="str">
        <f>VLOOKUP(B74,'пр.взв.'!B$7:H$142,5,FALSE)</f>
        <v>г. Москва, МЧС</v>
      </c>
      <c r="G74" s="516" t="str">
        <f>VLOOKUP(B74,'пр.взв.'!B$7:H$139,6,FALSE)</f>
        <v> </v>
      </c>
      <c r="H74" s="553" t="str">
        <f>VLOOKUP(B74,'пр.взв.'!B$7:H$151,7,FALSE)</f>
        <v>Леонтьев А.А., Павлов Д.А, Фунтиков ПВ</v>
      </c>
    </row>
    <row r="75" spans="1:8" ht="11.25" customHeight="1">
      <c r="A75" s="517"/>
      <c r="B75" s="518"/>
      <c r="C75" s="519"/>
      <c r="D75" s="520"/>
      <c r="E75" s="521"/>
      <c r="F75" s="288"/>
      <c r="G75" s="516"/>
      <c r="H75" s="553"/>
    </row>
    <row r="76" spans="1:8" ht="11.25" customHeight="1">
      <c r="A76" s="517" t="s">
        <v>306</v>
      </c>
      <c r="B76" s="518">
        <f>'пр.хода'!AK40</f>
        <v>32</v>
      </c>
      <c r="C76" s="519" t="str">
        <f>VLOOKUP(B76,'пр.взв.'!B$7:H$134,2,FALSE)</f>
        <v>НИКУЛИН Иван Дмитриевич</v>
      </c>
      <c r="D76" s="520" t="str">
        <f>VLOOKUP(B76,'пр.взв.'!B$7:H$134,3,FALSE)</f>
        <v>20.03.93, МС</v>
      </c>
      <c r="E76" s="521" t="str">
        <f>VLOOKUP(B76,'пр.взв.'!B$7:H$134,4,FALSE)</f>
        <v>УФО</v>
      </c>
      <c r="F76" s="288" t="str">
        <f>VLOOKUP(B76,'пр.взв.'!B$7:H$142,5,FALSE)</f>
        <v>Свердловская, В.Пышма, Д</v>
      </c>
      <c r="G76" s="516">
        <f>VLOOKUP(B76,'пр.взв.'!B$7:H$139,6,FALSE)</f>
        <v>0</v>
      </c>
      <c r="H76" s="553" t="str">
        <f>VLOOKUP(B76,'пр.взв.'!B$7:H$151,7,FALSE)</f>
        <v>Стенников ВГ Мельников АН</v>
      </c>
    </row>
    <row r="77" spans="1:8" ht="11.25" customHeight="1">
      <c r="A77" s="517"/>
      <c r="B77" s="518"/>
      <c r="C77" s="519"/>
      <c r="D77" s="520"/>
      <c r="E77" s="521"/>
      <c r="F77" s="288"/>
      <c r="G77" s="516"/>
      <c r="H77" s="553"/>
    </row>
    <row r="78" spans="1:8" ht="11.25" customHeight="1">
      <c r="A78" s="517" t="s">
        <v>307</v>
      </c>
      <c r="B78" s="518">
        <v>9</v>
      </c>
      <c r="C78" s="519" t="str">
        <f>VLOOKUP(B78,'пр.взв.'!B$7:H$134,2,FALSE)</f>
        <v>ПОЗДЕЕВ Дмитрий Андреевич</v>
      </c>
      <c r="D78" s="520" t="str">
        <f>VLOOKUP(B78,'пр.взв.'!B$7:H$134,3,FALSE)</f>
        <v>06.05.95, МС</v>
      </c>
      <c r="E78" s="521" t="str">
        <f>VLOOKUP(B78,'пр.взв.'!B$7:H$134,4,FALSE)</f>
        <v>УФО</v>
      </c>
      <c r="F78" s="288" t="str">
        <f>VLOOKUP(B78,'пр.взв.'!B$7:H$142,5,FALSE)</f>
        <v>Свердловская, В.Пышма, Д</v>
      </c>
      <c r="G78" s="516">
        <f>VLOOKUP(B78,'пр.взв.'!B$7:H$139,6,FALSE)</f>
        <v>0</v>
      </c>
      <c r="H78" s="553" t="str">
        <f>VLOOKUP(B78,'пр.взв.'!B$7:H$151,7,FALSE)</f>
        <v>Стенников ВГ Мельников АН</v>
      </c>
    </row>
    <row r="79" spans="1:8" ht="11.25" customHeight="1">
      <c r="A79" s="517"/>
      <c r="B79" s="518"/>
      <c r="C79" s="519"/>
      <c r="D79" s="520"/>
      <c r="E79" s="521"/>
      <c r="F79" s="288"/>
      <c r="G79" s="516"/>
      <c r="H79" s="553"/>
    </row>
    <row r="80" spans="1:8" ht="11.25" customHeight="1">
      <c r="A80" s="517" t="s">
        <v>307</v>
      </c>
      <c r="B80" s="518">
        <v>10</v>
      </c>
      <c r="C80" s="519" t="str">
        <f>VLOOKUP(B80,'пр.взв.'!B$7:H$134,2,FALSE)</f>
        <v>КИЯТОВ Заур Шумафович</v>
      </c>
      <c r="D80" s="520" t="str">
        <f>VLOOKUP(B80,'пр.взв.'!B$7:H$134,3,FALSE)</f>
        <v>16.06.92, КМС</v>
      </c>
      <c r="E80" s="521" t="str">
        <f>VLOOKUP(B80,'пр.взв.'!B$7:H$134,4,FALSE)</f>
        <v>ЮФО</v>
      </c>
      <c r="F80" s="288" t="str">
        <f>VLOOKUP(B80,'пр.взв.'!B$7:H$142,5,FALSE)</f>
        <v>Краснодарский, Лабинск, Д</v>
      </c>
      <c r="G80" s="516">
        <f>VLOOKUP(B80,'пр.взв.'!B$7:H$139,6,FALSE)</f>
        <v>0</v>
      </c>
      <c r="H80" s="553" t="str">
        <f>VLOOKUP(B80,'пр.взв.'!B$7:H$151,7,FALSE)</f>
        <v>Нагоев РМ</v>
      </c>
    </row>
    <row r="81" spans="1:8" ht="11.25" customHeight="1">
      <c r="A81" s="517"/>
      <c r="B81" s="518"/>
      <c r="C81" s="519"/>
      <c r="D81" s="520"/>
      <c r="E81" s="521"/>
      <c r="F81" s="288"/>
      <c r="G81" s="516"/>
      <c r="H81" s="553"/>
    </row>
    <row r="82" spans="1:8" ht="11.25" customHeight="1">
      <c r="A82" s="517" t="s">
        <v>307</v>
      </c>
      <c r="B82" s="518">
        <f>'пр.хода'!AI22</f>
        <v>39</v>
      </c>
      <c r="C82" s="519" t="str">
        <f>VLOOKUP(B82,'пр.взв.'!B$7:H$134,2,FALSE)</f>
        <v>ШЕВЦОВ Андрей Андреевич</v>
      </c>
      <c r="D82" s="520" t="str">
        <f>VLOOKUP(B82,'пр.взв.'!B$7:H$134,3,FALSE)</f>
        <v>24.11.95 мс</v>
      </c>
      <c r="E82" s="521" t="str">
        <f>VLOOKUP(B82,'пр.взв.'!B$7:H$134,4,FALSE)</f>
        <v>ДВФО</v>
      </c>
      <c r="F82" s="288" t="str">
        <f>VLOOKUP(B82,'пр.взв.'!B$7:H$142,5,FALSE)</f>
        <v>Приморский, Артем</v>
      </c>
      <c r="G82" s="516">
        <f>VLOOKUP(B82,'пр.взв.'!B$7:H$139,6,FALSE)</f>
        <v>0</v>
      </c>
      <c r="H82" s="553" t="str">
        <f>VLOOKUP(B82,'пр.взв.'!B$7:H$151,7,FALSE)</f>
        <v>Денисов ВЛ, Писаренко АА</v>
      </c>
    </row>
    <row r="83" spans="1:8" ht="11.25" customHeight="1">
      <c r="A83" s="517"/>
      <c r="B83" s="518"/>
      <c r="C83" s="519"/>
      <c r="D83" s="520"/>
      <c r="E83" s="521"/>
      <c r="F83" s="288"/>
      <c r="G83" s="516"/>
      <c r="H83" s="553"/>
    </row>
    <row r="84" spans="1:8" ht="11.25" customHeight="1">
      <c r="A84" s="517" t="s">
        <v>307</v>
      </c>
      <c r="B84" s="518">
        <f>'пр.хода'!AI41</f>
        <v>8</v>
      </c>
      <c r="C84" s="519" t="str">
        <f>VLOOKUP(B84,'пр.взв.'!B$7:H$134,2,FALSE)</f>
        <v>КУПРАШВИЛИ Родион Автандилович</v>
      </c>
      <c r="D84" s="520" t="str">
        <f>VLOOKUP(B84,'пр.взв.'!B$7:H$134,3,FALSE)</f>
        <v>07.02.95, МС</v>
      </c>
      <c r="E84" s="521" t="str">
        <f>VLOOKUP(B84,'пр.взв.'!B$7:H$134,4,FALSE)</f>
        <v>ЮФО</v>
      </c>
      <c r="F84" s="288" t="str">
        <f>VLOOKUP(B84,'пр.взв.'!B$7:H$142,5,FALSE)</f>
        <v>Краснодарский, Армавир, Д</v>
      </c>
      <c r="G84" s="516">
        <f>VLOOKUP(B84,'пр.взв.'!B$7:H$139,6,FALSE)</f>
        <v>0</v>
      </c>
      <c r="H84" s="553" t="str">
        <f>VLOOKUP(B84,'пр.взв.'!B$7:H$151,7,FALSE)</f>
        <v>Бабоян Р.М.</v>
      </c>
    </row>
    <row r="85" spans="1:8" ht="11.25" customHeight="1">
      <c r="A85" s="517"/>
      <c r="B85" s="518"/>
      <c r="C85" s="519"/>
      <c r="D85" s="520"/>
      <c r="E85" s="521"/>
      <c r="F85" s="288"/>
      <c r="G85" s="516"/>
      <c r="H85" s="553"/>
    </row>
    <row r="86" spans="1:8" ht="11.25" customHeight="1">
      <c r="A86" s="517" t="s">
        <v>307</v>
      </c>
      <c r="B86" s="518">
        <f>'пр.хода'!AI11</f>
        <v>49</v>
      </c>
      <c r="C86" s="519" t="str">
        <f>VLOOKUP(B86,'пр.взв.'!B$7:H$134,2,FALSE)</f>
        <v>СИДАКОВ Азамат Мурадович</v>
      </c>
      <c r="D86" s="520" t="str">
        <f>VLOOKUP(B86,'пр.взв.'!B$7:H$134,3,FALSE)</f>
        <v>29.03.83, МС</v>
      </c>
      <c r="E86" s="521" t="str">
        <f>VLOOKUP(B86,'пр.взв.'!B$7:H$134,4,FALSE)</f>
        <v>СКФО</v>
      </c>
      <c r="F86" s="288" t="str">
        <f>VLOOKUP(B86,'пр.взв.'!B$7:H$142,5,FALSE)</f>
        <v>Ставропольский, Ставрополь,Д</v>
      </c>
      <c r="G86" s="516">
        <f>VLOOKUP(B86,'пр.взв.'!B$7:H$139,6,FALSE)</f>
        <v>0</v>
      </c>
      <c r="H86" s="553" t="str">
        <f>VLOOKUP(B86,'пр.взв.'!B$7:H$151,7,FALSE)</f>
        <v>Папшуов М.А.</v>
      </c>
    </row>
    <row r="87" spans="1:8" ht="11.25" customHeight="1">
      <c r="A87" s="517"/>
      <c r="B87" s="518"/>
      <c r="C87" s="519"/>
      <c r="D87" s="520"/>
      <c r="E87" s="521"/>
      <c r="F87" s="288"/>
      <c r="G87" s="516"/>
      <c r="H87" s="553"/>
    </row>
    <row r="88" spans="1:8" ht="11.25" customHeight="1">
      <c r="A88" s="517" t="s">
        <v>307</v>
      </c>
      <c r="B88" s="518">
        <f>'пр.хода'!AI29</f>
        <v>18</v>
      </c>
      <c r="C88" s="519" t="str">
        <f>VLOOKUP(B88,'пр.взв.'!B$7:H$134,2,FALSE)</f>
        <v>АБДУЛКАДИРОВ Магомед Камингаджиевич</v>
      </c>
      <c r="D88" s="520" t="str">
        <f>VLOOKUP(B88,'пр.взв.'!B$7:H$134,3,FALSE)</f>
        <v>19.11.92, МС</v>
      </c>
      <c r="E88" s="521" t="str">
        <f>VLOOKUP(B88,'пр.взв.'!B$7:H$134,4,FALSE)</f>
        <v>СКФО</v>
      </c>
      <c r="F88" s="288" t="str">
        <f>VLOOKUP(B88,'пр.взв.'!B$7:H$142,5,FALSE)</f>
        <v>Ставропольский, Ставрополь,Д</v>
      </c>
      <c r="G88" s="516">
        <f>VLOOKUP(B88,'пр.взв.'!B$7:H$139,6,FALSE)</f>
        <v>0</v>
      </c>
      <c r="H88" s="553" t="str">
        <f>VLOOKUP(B88,'пр.взв.'!B$7:H$151,7,FALSE)</f>
        <v>Захаркин А.В.</v>
      </c>
    </row>
    <row r="89" spans="1:8" ht="11.25" customHeight="1">
      <c r="A89" s="517"/>
      <c r="B89" s="518"/>
      <c r="C89" s="519"/>
      <c r="D89" s="520"/>
      <c r="E89" s="521"/>
      <c r="F89" s="288"/>
      <c r="G89" s="516"/>
      <c r="H89" s="553"/>
    </row>
    <row r="90" spans="1:8" ht="11.25" customHeight="1">
      <c r="A90" s="517" t="s">
        <v>307</v>
      </c>
      <c r="B90" s="518">
        <f>'пр.хода'!AI20</f>
        <v>51</v>
      </c>
      <c r="C90" s="519" t="str">
        <f>VLOOKUP(B90,'пр.взв.'!B$7:H$134,2,FALSE)</f>
        <v>КОЖЕВНИКОВ Семен Николаевич</v>
      </c>
      <c r="D90" s="520" t="str">
        <f>VLOOKUP(B90,'пр.взв.'!B$7:H$134,3,FALSE)</f>
        <v>21.11.88, МС</v>
      </c>
      <c r="E90" s="521" t="str">
        <f>VLOOKUP(B90,'пр.взв.'!B$7:H$134,4,FALSE)</f>
        <v>СФО</v>
      </c>
      <c r="F90" s="288" t="str">
        <f>VLOOKUP(B90,'пр.взв.'!B$7:H$142,5,FALSE)</f>
        <v>Красноярский, Сосновоборск МО</v>
      </c>
      <c r="G90" s="516" t="str">
        <f>VLOOKUP(B90,'пр.взв.'!B$7:H$139,6,FALSE)</f>
        <v>009053024</v>
      </c>
      <c r="H90" s="553" t="str">
        <f>VLOOKUP(B90,'пр.взв.'!B$7:H$151,7,FALSE)</f>
        <v>Батурин А.В., Калентьев В.И.</v>
      </c>
    </row>
    <row r="91" spans="1:8" ht="11.25" customHeight="1">
      <c r="A91" s="517"/>
      <c r="B91" s="518"/>
      <c r="C91" s="519"/>
      <c r="D91" s="520"/>
      <c r="E91" s="521"/>
      <c r="F91" s="288"/>
      <c r="G91" s="516"/>
      <c r="H91" s="553"/>
    </row>
    <row r="92" spans="1:8" ht="12.75" customHeight="1">
      <c r="A92" s="517" t="s">
        <v>307</v>
      </c>
      <c r="B92" s="518">
        <f>'пр.хода'!AI39</f>
        <v>20</v>
      </c>
      <c r="C92" s="519" t="str">
        <f>VLOOKUP(B92,'пр.взв.'!B$7:H$134,2,FALSE)</f>
        <v>БАШКИРОВ Юрий Юрьевич</v>
      </c>
      <c r="D92" s="520" t="str">
        <f>VLOOKUP(B92,'пр.взв.'!B$7:H$134,3,FALSE)</f>
        <v>07.11.92, МС</v>
      </c>
      <c r="E92" s="521" t="str">
        <f>VLOOKUP(B92,'пр.взв.'!B$7:H$134,4,FALSE)</f>
        <v>ДВФО</v>
      </c>
      <c r="F92" s="288" t="str">
        <f>VLOOKUP(B92,'пр.взв.'!B$7:H$142,5,FALSE)</f>
        <v>Хабаровский, Хабаровск, Д</v>
      </c>
      <c r="G92" s="516">
        <f>VLOOKUP(B92,'пр.взв.'!B$7:H$139,6,FALSE)</f>
        <v>0</v>
      </c>
      <c r="H92" s="553" t="str">
        <f>VLOOKUP(B92,'пр.взв.'!B$7:H$151,7,FALSE)</f>
        <v>Шилайкин Б.В., Коростылёв Ю.В.</v>
      </c>
    </row>
    <row r="93" spans="1:8" ht="12.75">
      <c r="A93" s="517"/>
      <c r="B93" s="518"/>
      <c r="C93" s="519"/>
      <c r="D93" s="520"/>
      <c r="E93" s="521"/>
      <c r="F93" s="288"/>
      <c r="G93" s="516"/>
      <c r="H93" s="553"/>
    </row>
    <row r="94" spans="1:8" ht="12.75">
      <c r="A94" s="517" t="s">
        <v>307</v>
      </c>
      <c r="B94" s="518">
        <f>'пр.хода'!AI15</f>
        <v>53</v>
      </c>
      <c r="C94" s="519" t="str">
        <f>VLOOKUP(B94,'пр.взв.'!B$7:H$134,2,FALSE)</f>
        <v>ХАТХОХУ Байзет Заурбиевич</v>
      </c>
      <c r="D94" s="520" t="str">
        <f>VLOOKUP(B94,'пр.взв.'!B$7:H$134,3,FALSE)</f>
        <v>19.01.91 кмс</v>
      </c>
      <c r="E94" s="521" t="str">
        <f>VLOOKUP(B94,'пр.взв.'!B$7:H$134,4,FALSE)</f>
        <v>ЮФО</v>
      </c>
      <c r="F94" s="288" t="str">
        <f>VLOOKUP(B94,'пр.взв.'!B$7:H$142,5,FALSE)</f>
        <v>Краснодарский, Армавир</v>
      </c>
      <c r="G94" s="516" t="str">
        <f>VLOOKUP(B94,'пр.взв.'!B$7:H$139,6,FALSE)</f>
        <v> </v>
      </c>
      <c r="H94" s="553" t="str">
        <f>VLOOKUP(B94,'пр.взв.'!B$7:H$151,7,FALSE)</f>
        <v>Псеунов М.А., Хабаху А.Б.</v>
      </c>
    </row>
    <row r="95" spans="1:8" ht="12.75">
      <c r="A95" s="517"/>
      <c r="B95" s="518"/>
      <c r="C95" s="519"/>
      <c r="D95" s="520"/>
      <c r="E95" s="521"/>
      <c r="F95" s="288"/>
      <c r="G95" s="516"/>
      <c r="H95" s="553"/>
    </row>
    <row r="96" spans="1:8" ht="12.75">
      <c r="A96" s="517" t="s">
        <v>307</v>
      </c>
      <c r="B96" s="518">
        <v>12</v>
      </c>
      <c r="C96" s="519" t="str">
        <f>VLOOKUP(B96,'пр.взв.'!B$7:H$134,2,FALSE)</f>
        <v>КРИВЫХ Никита Александрович</v>
      </c>
      <c r="D96" s="520" t="str">
        <f>VLOOKUP(B96,'пр.взв.'!B$7:H$134,3,FALSE)</f>
        <v>22.11.93 кмс</v>
      </c>
      <c r="E96" s="521" t="str">
        <f>VLOOKUP(B96,'пр.взв.'!B$7:H$134,4,FALSE)</f>
        <v>УФО</v>
      </c>
      <c r="F96" s="288" t="str">
        <f>VLOOKUP(B96,'пр.взв.'!B$7:H$142,5,FALSE)</f>
        <v>Курганская, Шадринск</v>
      </c>
      <c r="G96" s="516" t="str">
        <f>VLOOKUP(B96,'пр.взв.'!B$7:H$139,6,FALSE)</f>
        <v> </v>
      </c>
      <c r="H96" s="553" t="str">
        <f>VLOOKUP(B96,'пр.взв.'!B$7:H$151,7,FALSE)</f>
        <v>Старцев АА, Жавкин ЭБ</v>
      </c>
    </row>
    <row r="97" spans="1:8" ht="12.75">
      <c r="A97" s="517"/>
      <c r="B97" s="518"/>
      <c r="C97" s="519"/>
      <c r="D97" s="520"/>
      <c r="E97" s="521"/>
      <c r="F97" s="288"/>
      <c r="G97" s="516"/>
      <c r="H97" s="553"/>
    </row>
    <row r="98" spans="1:8" ht="12.75">
      <c r="A98" s="517" t="s">
        <v>307</v>
      </c>
      <c r="B98" s="518">
        <f>'пр.хода'!AI24</f>
        <v>15</v>
      </c>
      <c r="C98" s="519" t="str">
        <f>VLOOKUP(B98,'пр.взв.'!B$7:H$134,2,FALSE)</f>
        <v>КОРОЛЕВ Сергей Владимирович</v>
      </c>
      <c r="D98" s="520">
        <f>VLOOKUP(B98,'пр.взв.'!B$7:H$134,3,FALSE)</f>
        <v>32198</v>
      </c>
      <c r="E98" s="521" t="str">
        <f>VLOOKUP(B98,'пр.взв.'!B$7:H$134,4,FALSE)</f>
        <v>ЦФО</v>
      </c>
      <c r="F98" s="288" t="str">
        <f>VLOOKUP(B98,'пр.взв.'!B$7:H$142,5,FALSE)</f>
        <v>Смоленская, Гагарин</v>
      </c>
      <c r="G98" s="516">
        <f>VLOOKUP(B98,'пр.взв.'!B$7:H$139,6,FALSE)</f>
        <v>0</v>
      </c>
      <c r="H98" s="553" t="str">
        <f>VLOOKUP(B98,'пр.взв.'!B$7:H$151,7,FALSE)</f>
        <v>Шкатов ВЮ</v>
      </c>
    </row>
    <row r="99" spans="1:8" ht="12.75">
      <c r="A99" s="517"/>
      <c r="B99" s="518"/>
      <c r="C99" s="519"/>
      <c r="D99" s="520"/>
      <c r="E99" s="521"/>
      <c r="F99" s="288"/>
      <c r="G99" s="516"/>
      <c r="H99" s="553"/>
    </row>
    <row r="100" spans="1:8" ht="12.75">
      <c r="A100" s="517" t="s">
        <v>307</v>
      </c>
      <c r="B100" s="518">
        <f>'пр.хода'!AI43</f>
        <v>16</v>
      </c>
      <c r="C100" s="519" t="str">
        <f>VLOOKUP(B100,'пр.взв.'!B$7:H$134,2,FALSE)</f>
        <v>АХМАДОВ Арби Хусейнович</v>
      </c>
      <c r="D100" s="520" t="str">
        <f>VLOOKUP(B100,'пр.взв.'!B$7:H$134,3,FALSE)</f>
        <v>20.05.89, МС</v>
      </c>
      <c r="E100" s="521" t="str">
        <f>VLOOKUP(B100,'пр.взв.'!B$7:H$134,4,FALSE)</f>
        <v>СКФО</v>
      </c>
      <c r="F100" s="288" t="str">
        <f>VLOOKUP(B100,'пр.взв.'!B$7:H$142,5,FALSE)</f>
        <v>Чеченская, МО</v>
      </c>
      <c r="G100" s="516">
        <f>VLOOKUP(B100,'пр.взв.'!B$7:H$139,6,FALSE)</f>
        <v>0</v>
      </c>
      <c r="H100" s="553" t="str">
        <f>VLOOKUP(B100,'пр.взв.'!B$7:H$151,7,FALSE)</f>
        <v>Чапаев В.Х. Мехтиев Х.У.</v>
      </c>
    </row>
    <row r="101" spans="1:8" ht="12.75">
      <c r="A101" s="517"/>
      <c r="B101" s="518"/>
      <c r="C101" s="519"/>
      <c r="D101" s="520"/>
      <c r="E101" s="521"/>
      <c r="F101" s="288"/>
      <c r="G101" s="516"/>
      <c r="H101" s="553"/>
    </row>
    <row r="102" spans="1:8" ht="12.75">
      <c r="A102" s="517" t="s">
        <v>307</v>
      </c>
      <c r="B102" s="518">
        <f>'пр.хода'!AI10</f>
        <v>1</v>
      </c>
      <c r="C102" s="519" t="str">
        <f>VLOOKUP(B102,'пр.взв.'!B$7:H$134,2,FALSE)</f>
        <v>ЖЕЛАГА Филипп Олегович</v>
      </c>
      <c r="D102" s="520" t="str">
        <f>VLOOKUP(B102,'пр.взв.'!B$7:H$134,3,FALSE)</f>
        <v>15.05.92, МС</v>
      </c>
      <c r="E102" s="521" t="str">
        <f>VLOOKUP(B102,'пр.взв.'!B$7:H$134,4,FALSE)</f>
        <v>ЦФО</v>
      </c>
      <c r="F102" s="288" t="str">
        <f>VLOOKUP(B102,'пр.взв.'!B$7:H$142,5,FALSE)</f>
        <v>Воронежская, Воронеж</v>
      </c>
      <c r="G102" s="516">
        <f>VLOOKUP(B102,'пр.взв.'!B$7:H$139,6,FALSE)</f>
        <v>0</v>
      </c>
      <c r="H102" s="553" t="str">
        <f>VLOOKUP(B102,'пр.взв.'!B$7:H$151,7,FALSE)</f>
        <v>Гончаров С.Ю.</v>
      </c>
    </row>
    <row r="103" spans="1:8" ht="12.75">
      <c r="A103" s="517"/>
      <c r="B103" s="518"/>
      <c r="C103" s="519"/>
      <c r="D103" s="520"/>
      <c r="E103" s="521"/>
      <c r="F103" s="288"/>
      <c r="G103" s="516"/>
      <c r="H103" s="553"/>
    </row>
    <row r="104" spans="1:8" ht="12.75">
      <c r="A104" s="517" t="s">
        <v>307</v>
      </c>
      <c r="B104" s="518">
        <f>'пр.хода'!AI28</f>
        <v>2</v>
      </c>
      <c r="C104" s="519" t="str">
        <f>VLOOKUP(B104,'пр.взв.'!B$7:H$134,2,FALSE)</f>
        <v>ХОЧУЕВ Мурат Назирович</v>
      </c>
      <c r="D104" s="520" t="str">
        <f>VLOOKUP(B104,'пр.взв.'!B$7:H$134,3,FALSE)</f>
        <v>02.03.92, МС</v>
      </c>
      <c r="E104" s="521" t="str">
        <f>VLOOKUP(B104,'пр.взв.'!B$7:H$134,4,FALSE)</f>
        <v>СПБ</v>
      </c>
      <c r="F104" s="288" t="str">
        <f>VLOOKUP(B104,'пр.взв.'!B$7:H$142,5,FALSE)</f>
        <v>С-Петербург, Д</v>
      </c>
      <c r="G104" s="516">
        <f>VLOOKUP(B104,'пр.взв.'!B$7:H$139,6,FALSE)</f>
        <v>0</v>
      </c>
      <c r="H104" s="553" t="str">
        <f>VLOOKUP(B104,'пр.взв.'!B$7:H$151,7,FALSE)</f>
        <v>Романов К.И.</v>
      </c>
    </row>
    <row r="105" spans="1:8" ht="12.75">
      <c r="A105" s="517"/>
      <c r="B105" s="518"/>
      <c r="C105" s="519"/>
      <c r="D105" s="520"/>
      <c r="E105" s="521"/>
      <c r="F105" s="288"/>
      <c r="G105" s="516"/>
      <c r="H105" s="553"/>
    </row>
    <row r="106" spans="1:8" ht="12.75" customHeight="1">
      <c r="A106" s="517" t="s">
        <v>307</v>
      </c>
      <c r="B106" s="518">
        <f>'пр.хода'!AI19</f>
        <v>35</v>
      </c>
      <c r="C106" s="519" t="str">
        <f>VLOOKUP(B106,'пр.взв.'!B$7:H$134,2,FALSE)</f>
        <v>АБДОКОВ Ринат Рамазанович</v>
      </c>
      <c r="D106" s="520" t="str">
        <f>VLOOKUP(B106,'пр.взв.'!B$7:H$134,3,FALSE)</f>
        <v>15.05.90, КМС</v>
      </c>
      <c r="E106" s="521" t="str">
        <f>VLOOKUP(B106,'пр.взв.'!B$7:H$134,4,FALSE)</f>
        <v>СКФО</v>
      </c>
      <c r="F106" s="288" t="str">
        <f>VLOOKUP(B106,'пр.взв.'!B$7:H$142,5,FALSE)</f>
        <v>КЧР, МО</v>
      </c>
      <c r="G106" s="516">
        <f>VLOOKUP(B106,'пр.взв.'!B$7:H$139,6,FALSE)</f>
        <v>0</v>
      </c>
      <c r="H106" s="553" t="str">
        <f>VLOOKUP(B106,'пр.взв.'!B$7:H$151,7,FALSE)</f>
        <v>Пчёлкин В.И.</v>
      </c>
    </row>
    <row r="107" spans="1:8" ht="12.75">
      <c r="A107" s="517"/>
      <c r="B107" s="518"/>
      <c r="C107" s="519"/>
      <c r="D107" s="520"/>
      <c r="E107" s="521"/>
      <c r="F107" s="288"/>
      <c r="G107" s="516"/>
      <c r="H107" s="553"/>
    </row>
    <row r="108" spans="1:8" ht="12.75">
      <c r="A108" s="517" t="s">
        <v>307</v>
      </c>
      <c r="B108" s="518">
        <f>'пр.хода'!AI38</f>
        <v>36</v>
      </c>
      <c r="C108" s="519" t="str">
        <f>VLOOKUP(B108,'пр.взв.'!B$7:H$134,2,FALSE)</f>
        <v>НОВИКОВ Семён Сергеевич</v>
      </c>
      <c r="D108" s="520" t="str">
        <f>VLOOKUP(B108,'пр.взв.'!B$7:H$134,3,FALSE)</f>
        <v>07.08.95, МС</v>
      </c>
      <c r="E108" s="521" t="str">
        <f>VLOOKUP(B108,'пр.взв.'!B$7:H$134,4,FALSE)</f>
        <v>МОС</v>
      </c>
      <c r="F108" s="288" t="str">
        <f>VLOOKUP(B108,'пр.взв.'!B$7:H$142,5,FALSE)</f>
        <v>Москва</v>
      </c>
      <c r="G108" s="516">
        <f>VLOOKUP(B108,'пр.взв.'!B$7:H$139,6,FALSE)</f>
        <v>0</v>
      </c>
      <c r="H108" s="553" t="str">
        <f>VLOOKUP(B108,'пр.взв.'!B$7:H$151,7,FALSE)</f>
        <v>Филимонов СН</v>
      </c>
    </row>
    <row r="109" spans="1:8" ht="12.75">
      <c r="A109" s="517"/>
      <c r="B109" s="518"/>
      <c r="C109" s="519"/>
      <c r="D109" s="520"/>
      <c r="E109" s="521"/>
      <c r="F109" s="288"/>
      <c r="G109" s="516"/>
      <c r="H109" s="553"/>
    </row>
    <row r="110" spans="1:8" ht="12.75">
      <c r="A110" s="517" t="s">
        <v>307</v>
      </c>
      <c r="B110" s="518">
        <f>'пр.хода'!AI14</f>
        <v>37</v>
      </c>
      <c r="C110" s="519" t="str">
        <f>VLOOKUP(B110,'пр.взв.'!B$7:H$134,2,FALSE)</f>
        <v>БОГДАНОВ Дмитрий Александрович</v>
      </c>
      <c r="D110" s="520" t="str">
        <f>VLOOKUP(B110,'пр.взв.'!B$7:H$134,3,FALSE)</f>
        <v>23.03.92, КМС</v>
      </c>
      <c r="E110" s="521" t="str">
        <f>VLOOKUP(B110,'пр.взв.'!B$7:H$134,4,FALSE)</f>
        <v>ЦФО</v>
      </c>
      <c r="F110" s="288" t="str">
        <f>VLOOKUP(B110,'пр.взв.'!B$7:H$142,5,FALSE)</f>
        <v>Ивановская, Иваново, ВС</v>
      </c>
      <c r="G110" s="516">
        <f>VLOOKUP(B110,'пр.взв.'!B$7:H$139,6,FALSE)</f>
        <v>0</v>
      </c>
      <c r="H110" s="553" t="str">
        <f>VLOOKUP(B110,'пр.взв.'!B$7:H$151,7,FALSE)</f>
        <v>Изместьев </v>
      </c>
    </row>
    <row r="111" spans="1:8" ht="12.75">
      <c r="A111" s="517"/>
      <c r="B111" s="518"/>
      <c r="C111" s="519"/>
      <c r="D111" s="520"/>
      <c r="E111" s="521"/>
      <c r="F111" s="288"/>
      <c r="G111" s="516"/>
      <c r="H111" s="553"/>
    </row>
    <row r="112" spans="1:8" ht="12.75">
      <c r="A112" s="517" t="s">
        <v>307</v>
      </c>
      <c r="B112" s="518">
        <f>'пр.хода'!AI32</f>
        <v>6</v>
      </c>
      <c r="C112" s="519" t="str">
        <f>VLOOKUP(B112,'пр.взв.'!B$7:H$134,2,FALSE)</f>
        <v>ОПРЯ Павел Иванович</v>
      </c>
      <c r="D112" s="520" t="str">
        <f>VLOOKUP(B112,'пр.взв.'!B$7:H$134,3,FALSE)</f>
        <v>16.02.89, МС</v>
      </c>
      <c r="E112" s="521" t="str">
        <f>VLOOKUP(B112,'пр.взв.'!B$7:H$134,4,FALSE)</f>
        <v>ДВФО</v>
      </c>
      <c r="F112" s="288" t="str">
        <f>VLOOKUP(B112,'пр.взв.'!B$7:H$142,5,FALSE)</f>
        <v>Р.САХА Якутия</v>
      </c>
      <c r="G112" s="516">
        <f>VLOOKUP(B112,'пр.взв.'!B$7:H$139,6,FALSE)</f>
        <v>0</v>
      </c>
      <c r="H112" s="553" t="str">
        <f>VLOOKUP(B112,'пр.взв.'!B$7:H$151,7,FALSE)</f>
        <v>Ерасейнов Т.М., Литавин В.В.</v>
      </c>
    </row>
    <row r="113" spans="1:8" ht="12.75">
      <c r="A113" s="517"/>
      <c r="B113" s="518"/>
      <c r="C113" s="519"/>
      <c r="D113" s="520"/>
      <c r="E113" s="521"/>
      <c r="F113" s="288"/>
      <c r="G113" s="516"/>
      <c r="H113" s="553"/>
    </row>
    <row r="114" spans="1:8" ht="12.75">
      <c r="A114" s="517" t="s">
        <v>307</v>
      </c>
      <c r="B114" s="518">
        <v>43</v>
      </c>
      <c r="C114" s="519" t="str">
        <f>VLOOKUP(B114,'пр.взв.'!B$7:H$134,2,FALSE)</f>
        <v>ПУЖАЕВ Владимир Владимирович</v>
      </c>
      <c r="D114" s="520" t="str">
        <f>VLOOKUP(B114,'пр.взв.'!B$7:H$134,3,FALSE)</f>
        <v>11.06.91, МСМК</v>
      </c>
      <c r="E114" s="521" t="str">
        <f>VLOOKUP(B114,'пр.взв.'!B$7:H$134,4,FALSE)</f>
        <v>МОС</v>
      </c>
      <c r="F114" s="288" t="str">
        <f>VLOOKUP(B114,'пр.взв.'!B$7:H$142,5,FALSE)</f>
        <v>Москва, Д</v>
      </c>
      <c r="G114" s="516">
        <f>VLOOKUP(B114,'пр.взв.'!B$7:H$139,6,FALSE)</f>
        <v>0</v>
      </c>
      <c r="H114" s="553" t="str">
        <f>VLOOKUP(B114,'пр.взв.'!B$7:H$151,7,FALSE)</f>
        <v>Фунтиков П.В., Кабанов Д.Б.</v>
      </c>
    </row>
    <row r="115" spans="1:8" ht="12.75">
      <c r="A115" s="517"/>
      <c r="B115" s="518"/>
      <c r="C115" s="519"/>
      <c r="D115" s="520"/>
      <c r="E115" s="521"/>
      <c r="F115" s="288"/>
      <c r="G115" s="516"/>
      <c r="H115" s="553"/>
    </row>
    <row r="116" spans="1:8" ht="12.75" hidden="1">
      <c r="A116" s="545" t="s">
        <v>65</v>
      </c>
      <c r="B116" s="518">
        <f>'пр.хода'!AH43</f>
        <v>56</v>
      </c>
      <c r="C116" s="519" t="e">
        <f>VLOOKUP(B116,'пр.взв.'!B$7:H$134,2,FALSE)</f>
        <v>#N/A</v>
      </c>
      <c r="D116" s="520" t="e">
        <f>VLOOKUP(B116,'пр.взв.'!B$7:H$134,3,FALSE)</f>
        <v>#N/A</v>
      </c>
      <c r="E116" s="521" t="e">
        <f>VLOOKUP(B116,'пр.взв.'!B$7:H$134,4,FALSE)</f>
        <v>#N/A</v>
      </c>
      <c r="F116" s="288" t="e">
        <f>VLOOKUP(B116,'пр.взв.'!B$7:H$142,5,FALSE)</f>
        <v>#N/A</v>
      </c>
      <c r="G116" s="305" t="e">
        <f>VLOOKUP(B116,'пр.взв.'!B$7:H$139,6,FALSE)</f>
        <v>#N/A</v>
      </c>
      <c r="H116" s="553" t="e">
        <f>VLOOKUP(B116,'пр.взв.'!B$7:H$151,7,FALSE)</f>
        <v>#N/A</v>
      </c>
    </row>
    <row r="117" spans="1:8" ht="12.75" hidden="1">
      <c r="A117" s="545"/>
      <c r="B117" s="518"/>
      <c r="C117" s="519"/>
      <c r="D117" s="520"/>
      <c r="E117" s="521"/>
      <c r="F117" s="288"/>
      <c r="G117" s="305"/>
      <c r="H117" s="553"/>
    </row>
    <row r="118" spans="1:8" ht="12.75" hidden="1">
      <c r="A118" s="545" t="s">
        <v>65</v>
      </c>
      <c r="B118" s="518">
        <f>'пр.хода'!AH13</f>
        <v>57</v>
      </c>
      <c r="C118" s="519" t="e">
        <f>VLOOKUP(B118,'пр.взв.'!B$7:H$134,2,FALSE)</f>
        <v>#N/A</v>
      </c>
      <c r="D118" s="520" t="e">
        <f>VLOOKUP(B118,'пр.взв.'!B$7:H$134,3,FALSE)</f>
        <v>#N/A</v>
      </c>
      <c r="E118" s="521" t="e">
        <f>VLOOKUP(B118,'пр.взв.'!B$7:H$134,4,FALSE)</f>
        <v>#N/A</v>
      </c>
      <c r="F118" s="288" t="e">
        <f>VLOOKUP(B118,'пр.взв.'!B$7:H$142,5,FALSE)</f>
        <v>#N/A</v>
      </c>
      <c r="G118" s="305" t="e">
        <f>VLOOKUP(B118,'пр.взв.'!B$7:H$139,6,FALSE)</f>
        <v>#N/A</v>
      </c>
      <c r="H118" s="553" t="e">
        <f>VLOOKUP(B118,'пр.взв.'!B$7:H$151,7,FALSE)</f>
        <v>#N/A</v>
      </c>
    </row>
    <row r="119" spans="1:8" ht="12.75" hidden="1">
      <c r="A119" s="545"/>
      <c r="B119" s="518"/>
      <c r="C119" s="519"/>
      <c r="D119" s="520"/>
      <c r="E119" s="521"/>
      <c r="F119" s="288"/>
      <c r="G119" s="305"/>
      <c r="H119" s="553"/>
    </row>
    <row r="120" spans="1:8" ht="12.75" hidden="1">
      <c r="A120" s="545" t="s">
        <v>65</v>
      </c>
      <c r="B120" s="518">
        <f>'пр.хода'!AH31</f>
        <v>58</v>
      </c>
      <c r="C120" s="519" t="e">
        <f>VLOOKUP(B120,'пр.взв.'!B$7:H$134,2,FALSE)</f>
        <v>#N/A</v>
      </c>
      <c r="D120" s="520" t="e">
        <f>VLOOKUP(B120,'пр.взв.'!B$7:H$134,3,FALSE)</f>
        <v>#N/A</v>
      </c>
      <c r="E120" s="521" t="e">
        <f>VLOOKUP(B120,'пр.взв.'!B$7:H$134,4,FALSE)</f>
        <v>#N/A</v>
      </c>
      <c r="F120" s="288" t="e">
        <f>VLOOKUP(B120,'пр.взв.'!B$7:H$142,5,FALSE)</f>
        <v>#N/A</v>
      </c>
      <c r="G120" s="305" t="e">
        <f>VLOOKUP(B120,'пр.взв.'!B$7:H$139,6,FALSE)</f>
        <v>#N/A</v>
      </c>
      <c r="H120" s="553" t="e">
        <f>VLOOKUP(B120,'пр.взв.'!B$7:H$151,7,FALSE)</f>
        <v>#N/A</v>
      </c>
    </row>
    <row r="121" spans="1:8" ht="12.75" hidden="1">
      <c r="A121" s="545"/>
      <c r="B121" s="518"/>
      <c r="C121" s="519"/>
      <c r="D121" s="520"/>
      <c r="E121" s="521"/>
      <c r="F121" s="288"/>
      <c r="G121" s="305"/>
      <c r="H121" s="553"/>
    </row>
    <row r="122" spans="1:8" ht="12.75" hidden="1">
      <c r="A122" s="545" t="s">
        <v>65</v>
      </c>
      <c r="B122" s="518" t="str">
        <f>'пр.хода'!AH22</f>
        <v> </v>
      </c>
      <c r="C122" s="519" t="e">
        <f>VLOOKUP(B122,'пр.взв.'!B$7:H$134,2,FALSE)</f>
        <v>#N/A</v>
      </c>
      <c r="D122" s="520" t="e">
        <f>VLOOKUP(B122,'пр.взв.'!B$7:H$134,3,FALSE)</f>
        <v>#N/A</v>
      </c>
      <c r="E122" s="521" t="e">
        <f>VLOOKUP(B122,'пр.взв.'!B$7:H$134,4,FALSE)</f>
        <v>#N/A</v>
      </c>
      <c r="F122" s="288" t="e">
        <f>VLOOKUP(B122,'пр.взв.'!B$7:H$142,5,FALSE)</f>
        <v>#N/A</v>
      </c>
      <c r="G122" s="305" t="e">
        <f>VLOOKUP(B122,'пр.взв.'!B$7:H$139,6,FALSE)</f>
        <v>#N/A</v>
      </c>
      <c r="H122" s="553" t="e">
        <f>VLOOKUP(B122,'пр.взв.'!B$7:H$151,7,FALSE)</f>
        <v>#N/A</v>
      </c>
    </row>
    <row r="123" spans="1:8" ht="12.75" hidden="1">
      <c r="A123" s="545"/>
      <c r="B123" s="518"/>
      <c r="C123" s="519"/>
      <c r="D123" s="520"/>
      <c r="E123" s="521"/>
      <c r="F123" s="288"/>
      <c r="G123" s="305"/>
      <c r="H123" s="553"/>
    </row>
    <row r="124" spans="1:8" ht="12.75" hidden="1">
      <c r="A124" s="545" t="s">
        <v>65</v>
      </c>
      <c r="B124" s="518" t="str">
        <f>'пр.хода'!AH41</f>
        <v> </v>
      </c>
      <c r="C124" s="519" t="e">
        <f>VLOOKUP(B124,'пр.взв.'!B$7:H$134,2,FALSE)</f>
        <v>#N/A</v>
      </c>
      <c r="D124" s="520" t="e">
        <f>VLOOKUP(B124,'пр.взв.'!B$7:H$134,3,FALSE)</f>
        <v>#N/A</v>
      </c>
      <c r="E124" s="521" t="e">
        <f>VLOOKUP(B124,'пр.взв.'!B$7:H$134,4,FALSE)</f>
        <v>#N/A</v>
      </c>
      <c r="F124" s="288" t="e">
        <f>VLOOKUP(B124,'пр.взв.'!B$7:H$142,5,FALSE)</f>
        <v>#N/A</v>
      </c>
      <c r="G124" s="305" t="e">
        <f>VLOOKUP(B124,'пр.взв.'!B$7:H$139,6,FALSE)</f>
        <v>#N/A</v>
      </c>
      <c r="H124" s="553" t="e">
        <f>VLOOKUP(B124,'пр.взв.'!B$7:H$151,7,FALSE)</f>
        <v>#N/A</v>
      </c>
    </row>
    <row r="125" spans="1:8" ht="12.75" hidden="1">
      <c r="A125" s="545"/>
      <c r="B125" s="518"/>
      <c r="C125" s="519"/>
      <c r="D125" s="520"/>
      <c r="E125" s="521"/>
      <c r="F125" s="288"/>
      <c r="G125" s="305"/>
      <c r="H125" s="553"/>
    </row>
    <row r="126" spans="1:8" ht="12.75" hidden="1">
      <c r="A126" s="545" t="s">
        <v>65</v>
      </c>
      <c r="B126" s="518">
        <f>'пр.хода'!AH17</f>
        <v>61</v>
      </c>
      <c r="C126" s="519" t="e">
        <f>VLOOKUP(B126,'пр.взв.'!B$7:H$134,2,FALSE)</f>
        <v>#N/A</v>
      </c>
      <c r="D126" s="520" t="e">
        <f>VLOOKUP(B126,'пр.взв.'!B$7:H$134,3,FALSE)</f>
        <v>#N/A</v>
      </c>
      <c r="E126" s="521" t="e">
        <f>VLOOKUP(B126,'пр.взв.'!B$7:H$134,4,FALSE)</f>
        <v>#N/A</v>
      </c>
      <c r="F126" s="288" t="e">
        <f>VLOOKUP(B126,'пр.взв.'!B$7:H$142,5,FALSE)</f>
        <v>#N/A</v>
      </c>
      <c r="G126" s="305" t="e">
        <f>VLOOKUP(B126,'пр.взв.'!B$7:H$139,6,FALSE)</f>
        <v>#N/A</v>
      </c>
      <c r="H126" s="553" t="e">
        <f>VLOOKUP(B126,'пр.взв.'!B$7:H$151,7,FALSE)</f>
        <v>#N/A</v>
      </c>
    </row>
    <row r="127" spans="1:8" ht="12.75" hidden="1">
      <c r="A127" s="545"/>
      <c r="B127" s="518"/>
      <c r="C127" s="519"/>
      <c r="D127" s="520"/>
      <c r="E127" s="521"/>
      <c r="F127" s="288"/>
      <c r="G127" s="305"/>
      <c r="H127" s="553"/>
    </row>
    <row r="128" spans="1:8" ht="12.75" hidden="1">
      <c r="A128" s="545" t="s">
        <v>65</v>
      </c>
      <c r="B128" s="518">
        <f>'пр.хода'!AH35</f>
        <v>62</v>
      </c>
      <c r="C128" s="519" t="e">
        <f>VLOOKUP(B128,'пр.взв.'!B$7:H$134,2,FALSE)</f>
        <v>#N/A</v>
      </c>
      <c r="D128" s="520" t="e">
        <f>VLOOKUP(B128,'пр.взв.'!B$7:H$134,3,FALSE)</f>
        <v>#N/A</v>
      </c>
      <c r="E128" s="521" t="e">
        <f>VLOOKUP(B128,'пр.взв.'!B$7:H$134,4,FALSE)</f>
        <v>#N/A</v>
      </c>
      <c r="F128" s="288" t="e">
        <f>VLOOKUP(B128,'пр.взв.'!B$7:H$142,5,FALSE)</f>
        <v>#N/A</v>
      </c>
      <c r="G128" s="305" t="e">
        <f>VLOOKUP(B128,'пр.взв.'!B$7:H$139,6,FALSE)</f>
        <v>#N/A</v>
      </c>
      <c r="H128" s="553" t="e">
        <f>VLOOKUP(B128,'пр.взв.'!B$7:H$151,7,FALSE)</f>
        <v>#N/A</v>
      </c>
    </row>
    <row r="129" spans="1:8" ht="12.75" hidden="1">
      <c r="A129" s="545"/>
      <c r="B129" s="518"/>
      <c r="C129" s="519"/>
      <c r="D129" s="520"/>
      <c r="E129" s="521"/>
      <c r="F129" s="288"/>
      <c r="G129" s="305"/>
      <c r="H129" s="553"/>
    </row>
    <row r="130" spans="1:8" ht="12.75" hidden="1">
      <c r="A130" s="545" t="s">
        <v>65</v>
      </c>
      <c r="B130" s="518">
        <f>'пр.хода'!AH26</f>
        <v>63</v>
      </c>
      <c r="C130" s="519" t="e">
        <f>VLOOKUP(B130,'пр.взв.'!B$7:H$134,2,FALSE)</f>
        <v>#N/A</v>
      </c>
      <c r="D130" s="520" t="e">
        <f>VLOOKUP(B130,'пр.взв.'!B$7:H$134,3,FALSE)</f>
        <v>#N/A</v>
      </c>
      <c r="E130" s="521" t="e">
        <f>VLOOKUP(B130,'пр.взв.'!B$7:H$134,4,FALSE)</f>
        <v>#N/A</v>
      </c>
      <c r="F130" s="288" t="e">
        <f>VLOOKUP(B130,'пр.взв.'!B$7:H$142,5,FALSE)</f>
        <v>#N/A</v>
      </c>
      <c r="G130" s="305" t="e">
        <f>VLOOKUP(B130,'пр.взв.'!B$7:H$139,6,FALSE)</f>
        <v>#N/A</v>
      </c>
      <c r="H130" s="553" t="e">
        <f>VLOOKUP(B130,'пр.взв.'!B$7:H$151,7,FALSE)</f>
        <v>#N/A</v>
      </c>
    </row>
    <row r="131" spans="1:8" ht="12.75" hidden="1">
      <c r="A131" s="545"/>
      <c r="B131" s="518"/>
      <c r="C131" s="519"/>
      <c r="D131" s="520"/>
      <c r="E131" s="521"/>
      <c r="F131" s="288"/>
      <c r="G131" s="305"/>
      <c r="H131" s="553"/>
    </row>
    <row r="132" spans="1:8" ht="12.75" hidden="1">
      <c r="A132" s="545" t="s">
        <v>65</v>
      </c>
      <c r="B132" s="518">
        <f>'пр.хода'!AH45</f>
        <v>64</v>
      </c>
      <c r="C132" s="519" t="e">
        <f>VLOOKUP(B132,'пр.взв.'!B$7:H$134,2,FALSE)</f>
        <v>#N/A</v>
      </c>
      <c r="D132" s="520" t="e">
        <f>VLOOKUP(B132,'пр.взв.'!B$7:H$134,3,FALSE)</f>
        <v>#N/A</v>
      </c>
      <c r="E132" s="521" t="e">
        <f>VLOOKUP(B132,'пр.взв.'!B$7:H$134,4,FALSE)</f>
        <v>#N/A</v>
      </c>
      <c r="F132" s="288" t="e">
        <f>VLOOKUP(B132,'пр.взв.'!B$7:H$142,5,FALSE)</f>
        <v>#N/A</v>
      </c>
      <c r="G132" s="305" t="e">
        <f>VLOOKUP(B132,'пр.взв.'!B$7:H$139,6,FALSE)</f>
        <v>#N/A</v>
      </c>
      <c r="H132" s="553" t="e">
        <f>VLOOKUP(B132,'пр.взв.'!B$7:H$151,7,FALSE)</f>
        <v>#N/A</v>
      </c>
    </row>
    <row r="133" spans="1:8" ht="13.5" hidden="1" thickBot="1">
      <c r="A133" s="549"/>
      <c r="B133" s="550"/>
      <c r="C133" s="551"/>
      <c r="D133" s="552"/>
      <c r="E133" s="546"/>
      <c r="F133" s="547"/>
      <c r="G133" s="548"/>
      <c r="H133" s="573"/>
    </row>
    <row r="135" spans="1:10" ht="12.75">
      <c r="A135" s="88" t="str">
        <f>HYPERLINK('[1]реквизиты'!$A$6)</f>
        <v>Гл. судья, судья МК</v>
      </c>
      <c r="B135" s="78"/>
      <c r="C135" s="87"/>
      <c r="D135" s="89"/>
      <c r="E135" s="89"/>
      <c r="F135" s="90" t="str">
        <f>'[2]реквизиты'!$G$7</f>
        <v>Р.М.Бабоян</v>
      </c>
      <c r="H135" s="101" t="str">
        <f>'[2]реквизиты'!$G$8</f>
        <v>/г.Армавир/</v>
      </c>
      <c r="I135" s="81"/>
      <c r="J135" s="78"/>
    </row>
    <row r="136" spans="1:10" ht="12.75">
      <c r="A136" s="87"/>
      <c r="B136" s="78"/>
      <c r="C136" s="87"/>
      <c r="D136" s="89"/>
      <c r="E136" s="89"/>
      <c r="F136" s="89"/>
      <c r="H136" s="100"/>
      <c r="I136" s="79"/>
      <c r="J136" s="78"/>
    </row>
    <row r="137" spans="1:10" ht="12.75">
      <c r="A137" s="87"/>
      <c r="B137" s="78"/>
      <c r="C137" s="87"/>
      <c r="D137" s="89"/>
      <c r="E137" s="89"/>
      <c r="F137" s="89"/>
      <c r="H137" s="84"/>
      <c r="I137" s="81"/>
      <c r="J137" s="78"/>
    </row>
    <row r="138" spans="1:10" ht="12.75">
      <c r="A138" s="88" t="str">
        <f>'[2]реквизиты'!$A$8</f>
        <v>Гл. секретарь, судья МК</v>
      </c>
      <c r="B138" s="78"/>
      <c r="C138" s="87"/>
      <c r="D138" s="89"/>
      <c r="E138" s="89"/>
      <c r="F138" s="91" t="str">
        <f>'[2]реквизиты'!$G$9</f>
        <v>Р.М.Закиров</v>
      </c>
      <c r="H138" s="101" t="str">
        <f>'[2]реквизиты'!$G$10</f>
        <v>/г.Пермь/</v>
      </c>
      <c r="I138" s="81"/>
      <c r="J138" s="78"/>
    </row>
    <row r="139" spans="1:10" ht="12.75">
      <c r="A139" s="81"/>
      <c r="B139" s="87"/>
      <c r="C139" s="87"/>
      <c r="D139" s="87"/>
      <c r="E139" s="89"/>
      <c r="F139" s="89"/>
      <c r="H139" s="87"/>
      <c r="I139" s="79"/>
      <c r="J139" s="78"/>
    </row>
    <row r="140" spans="1:10" ht="12.75">
      <c r="A140" s="79"/>
      <c r="B140" s="87"/>
      <c r="C140" s="87"/>
      <c r="D140" s="87"/>
      <c r="E140" s="89"/>
      <c r="F140" s="89"/>
      <c r="G140" s="89"/>
      <c r="H140" s="87"/>
      <c r="I140" s="79"/>
      <c r="J140" s="78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L6:M17" name="Диапазон2"/>
    <protectedRange sqref="A1:H138" name="Диапазон1"/>
  </protectedRanges>
  <mergeCells count="543">
    <mergeCell ref="J12:J13"/>
    <mergeCell ref="K12:K13"/>
    <mergeCell ref="J14:J15"/>
    <mergeCell ref="K14:K15"/>
    <mergeCell ref="T4:T5"/>
    <mergeCell ref="U4:X4"/>
    <mergeCell ref="J6:J7"/>
    <mergeCell ref="K6:K7"/>
    <mergeCell ref="J8:J9"/>
    <mergeCell ref="K8:K9"/>
    <mergeCell ref="B3:G3"/>
    <mergeCell ref="H128:H129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30:H131"/>
    <mergeCell ref="H132:H133"/>
    <mergeCell ref="H120:H121"/>
    <mergeCell ref="H122:H123"/>
    <mergeCell ref="H124:H125"/>
    <mergeCell ref="H126:H127"/>
    <mergeCell ref="N4:Q4"/>
    <mergeCell ref="S4:S5"/>
    <mergeCell ref="J16:J17"/>
    <mergeCell ref="K16:K17"/>
    <mergeCell ref="J10:J11"/>
    <mergeCell ref="K10:K11"/>
    <mergeCell ref="J4:J5"/>
    <mergeCell ref="K4:K5"/>
    <mergeCell ref="L4:L5"/>
    <mergeCell ref="M4:M5"/>
    <mergeCell ref="H108:H109"/>
    <mergeCell ref="H110:H111"/>
    <mergeCell ref="H112:H113"/>
    <mergeCell ref="H114:H115"/>
    <mergeCell ref="H84:H85"/>
    <mergeCell ref="H86:H87"/>
    <mergeCell ref="H88:H89"/>
    <mergeCell ref="H90:H91"/>
    <mergeCell ref="H92:H93"/>
    <mergeCell ref="H94:H9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48:H49"/>
    <mergeCell ref="H50:H51"/>
    <mergeCell ref="H52:H53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A26:A27"/>
    <mergeCell ref="B26:B27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E26:E27"/>
    <mergeCell ref="G26:G27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E6:E7"/>
    <mergeCell ref="G6:G7"/>
    <mergeCell ref="F6:F7"/>
    <mergeCell ref="E4:F5"/>
    <mergeCell ref="A6:A7"/>
    <mergeCell ref="B6:B7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40:G41"/>
    <mergeCell ref="G32:G33"/>
    <mergeCell ref="F42:F43"/>
    <mergeCell ref="G42:G43"/>
    <mergeCell ref="F36:F37"/>
    <mergeCell ref="G36:G37"/>
    <mergeCell ref="F38:F39"/>
    <mergeCell ref="G38:G39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8" sqref="A1:H38"/>
    </sheetView>
  </sheetViews>
  <sheetFormatPr defaultColWidth="9.140625" defaultRowHeight="12.75"/>
  <sheetData>
    <row r="1" spans="1:8" ht="30.75" customHeight="1" thickBot="1">
      <c r="A1" s="555" t="str">
        <f>'[2]реквизиты'!$A$2</f>
        <v>Чемпионат России по  САМБО среди мужчин.</v>
      </c>
      <c r="B1" s="556"/>
      <c r="C1" s="556"/>
      <c r="D1" s="556"/>
      <c r="E1" s="556"/>
      <c r="F1" s="556"/>
      <c r="G1" s="556"/>
      <c r="H1" s="557"/>
    </row>
    <row r="2" spans="1:8" ht="12.75">
      <c r="A2" s="592" t="str">
        <f>'[2]реквизиты'!$A$3</f>
        <v>4-8 марта 2016.                                                         г.Химки</v>
      </c>
      <c r="B2" s="592"/>
      <c r="C2" s="592"/>
      <c r="D2" s="592"/>
      <c r="E2" s="592"/>
      <c r="F2" s="592"/>
      <c r="G2" s="592"/>
      <c r="H2" s="592"/>
    </row>
    <row r="3" spans="1:8" ht="18">
      <c r="A3" s="593" t="s">
        <v>33</v>
      </c>
      <c r="B3" s="593"/>
      <c r="C3" s="593"/>
      <c r="D3" s="593"/>
      <c r="E3" s="593"/>
      <c r="F3" s="593"/>
      <c r="G3" s="593"/>
      <c r="H3" s="593"/>
    </row>
    <row r="4" spans="2:8" ht="18">
      <c r="B4" s="65"/>
      <c r="C4" s="600" t="str">
        <f>'пр.взв.'!D4</f>
        <v>в.к. 82 кг.</v>
      </c>
      <c r="D4" s="600"/>
      <c r="E4" s="600"/>
      <c r="F4" s="601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597" t="s">
        <v>34</v>
      </c>
      <c r="B6" s="586" t="str">
        <f>VLOOKUP(J6,'пр.взв.'!B7:H134,2,FALSE)</f>
        <v>КИРЮХИН Сергей Александрович</v>
      </c>
      <c r="C6" s="586"/>
      <c r="D6" s="586"/>
      <c r="E6" s="586"/>
      <c r="F6" s="586"/>
      <c r="G6" s="586"/>
      <c r="H6" s="588" t="str">
        <f>VLOOKUP(J6,'пр.взв.'!B7:H134,3,FALSE)</f>
        <v>23.02.87, ЗМС</v>
      </c>
      <c r="I6" s="66"/>
      <c r="J6" s="67">
        <f>'пр.хода'!M32</f>
        <v>27</v>
      </c>
    </row>
    <row r="7" spans="1:10" ht="18">
      <c r="A7" s="598"/>
      <c r="B7" s="587"/>
      <c r="C7" s="587"/>
      <c r="D7" s="587"/>
      <c r="E7" s="587"/>
      <c r="F7" s="587"/>
      <c r="G7" s="587"/>
      <c r="H7" s="589"/>
      <c r="I7" s="66"/>
      <c r="J7" s="67"/>
    </row>
    <row r="8" spans="1:10" ht="18">
      <c r="A8" s="598"/>
      <c r="B8" s="590" t="str">
        <f>VLOOKUP(J6,'пр.взв.'!B7:H134,5,FALSE)</f>
        <v>С-Петербург, ВС</v>
      </c>
      <c r="C8" s="590"/>
      <c r="D8" s="590"/>
      <c r="E8" s="590"/>
      <c r="F8" s="590"/>
      <c r="G8" s="590"/>
      <c r="H8" s="591"/>
      <c r="I8" s="66"/>
      <c r="J8" s="67"/>
    </row>
    <row r="9" spans="1:10" ht="18.75" thickBot="1">
      <c r="A9" s="599"/>
      <c r="B9" s="581"/>
      <c r="C9" s="581"/>
      <c r="D9" s="581"/>
      <c r="E9" s="581"/>
      <c r="F9" s="581"/>
      <c r="G9" s="581"/>
      <c r="H9" s="582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594" t="s">
        <v>35</v>
      </c>
      <c r="B11" s="586" t="str">
        <f>VLOOKUP(J11,'пр.взв.'!B7:H134,2,FALSE)</f>
        <v>МАКСИМОВ Евгений Олегович</v>
      </c>
      <c r="C11" s="586"/>
      <c r="D11" s="586"/>
      <c r="E11" s="586"/>
      <c r="F11" s="586"/>
      <c r="G11" s="586"/>
      <c r="H11" s="588" t="str">
        <f>VLOOKUP(J11,'пр.взв.'!B7:H134,3,FALSE)</f>
        <v>09.06.87, МС</v>
      </c>
      <c r="I11" s="66"/>
      <c r="J11" s="67">
        <f>'пр.хода'!M40</f>
        <v>14</v>
      </c>
    </row>
    <row r="12" spans="1:10" ht="18">
      <c r="A12" s="595"/>
      <c r="B12" s="587"/>
      <c r="C12" s="587"/>
      <c r="D12" s="587"/>
      <c r="E12" s="587"/>
      <c r="F12" s="587"/>
      <c r="G12" s="587"/>
      <c r="H12" s="589"/>
      <c r="I12" s="66"/>
      <c r="J12" s="67"/>
    </row>
    <row r="13" spans="1:10" ht="18">
      <c r="A13" s="595"/>
      <c r="B13" s="590" t="str">
        <f>VLOOKUP(J11,'пр.взв.'!B7:H134,5,FALSE)</f>
        <v>Московская, Мытищи</v>
      </c>
      <c r="C13" s="590"/>
      <c r="D13" s="590"/>
      <c r="E13" s="590"/>
      <c r="F13" s="590"/>
      <c r="G13" s="590"/>
      <c r="H13" s="591"/>
      <c r="I13" s="66"/>
      <c r="J13" s="67"/>
    </row>
    <row r="14" spans="1:10" ht="18.75" thickBot="1">
      <c r="A14" s="596"/>
      <c r="B14" s="581"/>
      <c r="C14" s="581"/>
      <c r="D14" s="581"/>
      <c r="E14" s="581"/>
      <c r="F14" s="581"/>
      <c r="G14" s="581"/>
      <c r="H14" s="582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583" t="s">
        <v>36</v>
      </c>
      <c r="B16" s="586" t="str">
        <f>VLOOKUP(J16,'пр.взв.'!B7:H134,2,FALSE)</f>
        <v>УЛЬЯХОВ Александр Александрович </v>
      </c>
      <c r="C16" s="586"/>
      <c r="D16" s="586"/>
      <c r="E16" s="586"/>
      <c r="F16" s="586"/>
      <c r="G16" s="586"/>
      <c r="H16" s="588" t="str">
        <f>VLOOKUP(J16,'пр.взв.'!B7:H134,3,FALSE)</f>
        <v>16.07.88 мс</v>
      </c>
      <c r="I16" s="66"/>
      <c r="J16" s="103">
        <f>'пр.хода'!R18</f>
        <v>28</v>
      </c>
    </row>
    <row r="17" spans="1:10" ht="18">
      <c r="A17" s="584"/>
      <c r="B17" s="587"/>
      <c r="C17" s="587"/>
      <c r="D17" s="587"/>
      <c r="E17" s="587"/>
      <c r="F17" s="587"/>
      <c r="G17" s="587"/>
      <c r="H17" s="589"/>
      <c r="I17" s="66"/>
      <c r="J17" s="67"/>
    </row>
    <row r="18" spans="1:10" ht="18">
      <c r="A18" s="584"/>
      <c r="B18" s="590" t="str">
        <f>VLOOKUP(J16,'пр.взв.'!B7:H134,5,FALSE)</f>
        <v>Брянская Брянск Д</v>
      </c>
      <c r="C18" s="590"/>
      <c r="D18" s="590"/>
      <c r="E18" s="590"/>
      <c r="F18" s="590"/>
      <c r="G18" s="590"/>
      <c r="H18" s="591"/>
      <c r="I18" s="66"/>
      <c r="J18" s="67"/>
    </row>
    <row r="19" spans="1:10" ht="18.75" thickBot="1">
      <c r="A19" s="585"/>
      <c r="B19" s="581"/>
      <c r="C19" s="581"/>
      <c r="D19" s="581"/>
      <c r="E19" s="581"/>
      <c r="F19" s="581"/>
      <c r="G19" s="581"/>
      <c r="H19" s="582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583" t="s">
        <v>36</v>
      </c>
      <c r="B21" s="586" t="str">
        <f>VLOOKUP(J21,'пр.взв.'!B7:H134,2,FALSE)</f>
        <v>ПЕРЕПЕЛЮК Андрей Александрович</v>
      </c>
      <c r="C21" s="586"/>
      <c r="D21" s="586"/>
      <c r="E21" s="586"/>
      <c r="F21" s="586"/>
      <c r="G21" s="586"/>
      <c r="H21" s="588" t="str">
        <f>VLOOKUP(J21,'пр.взв.'!B7:H134,3,FALSE)</f>
        <v>06.08.85, МСМК</v>
      </c>
      <c r="I21" s="66"/>
      <c r="J21" s="67">
        <f>'пр.хода'!R67</f>
        <v>48</v>
      </c>
    </row>
    <row r="22" spans="1:10" ht="18">
      <c r="A22" s="584"/>
      <c r="B22" s="587"/>
      <c r="C22" s="587"/>
      <c r="D22" s="587"/>
      <c r="E22" s="587"/>
      <c r="F22" s="587"/>
      <c r="G22" s="587"/>
      <c r="H22" s="589"/>
      <c r="I22" s="66"/>
      <c r="J22" s="67"/>
    </row>
    <row r="23" spans="1:9" ht="18">
      <c r="A23" s="584"/>
      <c r="B23" s="590" t="str">
        <f>VLOOKUP(J21,'пр.взв.'!B7:H134,5,FALSE)</f>
        <v>Москва, Д</v>
      </c>
      <c r="C23" s="590"/>
      <c r="D23" s="590"/>
      <c r="E23" s="590"/>
      <c r="F23" s="590"/>
      <c r="G23" s="590"/>
      <c r="H23" s="591"/>
      <c r="I23" s="66"/>
    </row>
    <row r="24" spans="1:9" ht="18.75" thickBot="1">
      <c r="A24" s="585"/>
      <c r="B24" s="581"/>
      <c r="C24" s="581"/>
      <c r="D24" s="581"/>
      <c r="E24" s="581"/>
      <c r="F24" s="581"/>
      <c r="G24" s="581"/>
      <c r="H24" s="582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577" t="str">
        <f>VLOOKUP(J28,'пр.взв.'!B7:H134,7,FALSE)</f>
        <v>Кусакин С.И., Удовик С.В.</v>
      </c>
      <c r="B28" s="578"/>
      <c r="C28" s="578"/>
      <c r="D28" s="578"/>
      <c r="E28" s="578"/>
      <c r="F28" s="578"/>
      <c r="G28" s="578"/>
      <c r="H28" s="579"/>
      <c r="J28">
        <f>'пр.хода'!M32</f>
        <v>27</v>
      </c>
    </row>
    <row r="29" spans="1:8" ht="13.5" thickBot="1">
      <c r="A29" s="580"/>
      <c r="B29" s="581"/>
      <c r="C29" s="581"/>
      <c r="D29" s="581"/>
      <c r="E29" s="581"/>
      <c r="F29" s="581"/>
      <c r="G29" s="581"/>
      <c r="H29" s="582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A16:A19"/>
    <mergeCell ref="H11:H12"/>
    <mergeCell ref="H16:H17"/>
    <mergeCell ref="B11:G12"/>
    <mergeCell ref="B13:H14"/>
    <mergeCell ref="B18:H19"/>
    <mergeCell ref="B8:H9"/>
    <mergeCell ref="B6:G7"/>
    <mergeCell ref="H6:H7"/>
    <mergeCell ref="C4:F4"/>
    <mergeCell ref="B16:G17"/>
    <mergeCell ref="A28:H29"/>
    <mergeCell ref="A21:A24"/>
    <mergeCell ref="B21:G22"/>
    <mergeCell ref="H21:H22"/>
    <mergeCell ref="B23:H24"/>
    <mergeCell ref="A1:H1"/>
    <mergeCell ref="A2:H2"/>
    <mergeCell ref="A3:H3"/>
    <mergeCell ref="A11:A1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613" t="str">
        <f>'[2]реквизиты'!$A$2</f>
        <v>Чемпионат России по  САМБО среди мужчин.</v>
      </c>
      <c r="B1" s="613"/>
      <c r="C1" s="613"/>
      <c r="D1" s="613"/>
      <c r="E1" s="613"/>
      <c r="F1" s="613"/>
      <c r="G1" s="613"/>
      <c r="H1" s="613"/>
    </row>
    <row r="2" spans="1:8" ht="13.5" customHeight="1" thickBot="1">
      <c r="A2" s="614"/>
      <c r="B2" s="615"/>
      <c r="C2" s="615"/>
      <c r="D2" s="615"/>
      <c r="E2" s="615"/>
      <c r="F2" s="615"/>
      <c r="G2" s="615"/>
      <c r="H2" s="610">
        <f>HYPERLINK('пр.взв.'!G4)</f>
      </c>
    </row>
    <row r="3" spans="1:8" ht="12" customHeight="1">
      <c r="A3" s="606">
        <v>2</v>
      </c>
      <c r="B3" s="607" t="str">
        <f>VLOOKUP(A3,'пр.взв.'!B6:C133,2,FALSE)</f>
        <v>ХОЧУЕВ Мурат Назирович</v>
      </c>
      <c r="C3" s="607" t="str">
        <f>VLOOKUP(A3,'пр.взв.'!B6:H133,3,FALSE)</f>
        <v>02.03.92, МС</v>
      </c>
      <c r="D3" s="607" t="str">
        <f>VLOOKUP(A3,'пр.взв.'!B6:F133,4,FALSE)</f>
        <v>СПБ</v>
      </c>
      <c r="H3" s="610"/>
    </row>
    <row r="4" spans="1:8" ht="12" customHeight="1">
      <c r="A4" s="602"/>
      <c r="B4" s="608"/>
      <c r="C4" s="608"/>
      <c r="D4" s="608"/>
      <c r="E4" s="1"/>
      <c r="F4" s="1"/>
      <c r="H4" s="610" t="s">
        <v>10</v>
      </c>
    </row>
    <row r="5" spans="1:8" ht="12" customHeight="1">
      <c r="A5" s="602">
        <v>34</v>
      </c>
      <c r="B5" s="604" t="str">
        <f>VLOOKUP(A5,'пр.взв.'!B8:C135,2,FALSE)</f>
        <v>ПОЖИДАЕВ Егор Николаевич</v>
      </c>
      <c r="C5" s="604" t="str">
        <f>VLOOKUP(A5,'пр.взв.'!B8:H135,3,FALSE)</f>
        <v>18.07.91 кмс</v>
      </c>
      <c r="D5" s="604" t="str">
        <f>VLOOKUP(A5,'пр.взв.'!B8:F135,4,FALSE)</f>
        <v>СЗФО</v>
      </c>
      <c r="E5" s="3"/>
      <c r="F5" s="1"/>
      <c r="G5" s="1"/>
      <c r="H5" s="610"/>
    </row>
    <row r="6" spans="1:7" ht="12" customHeight="1" thickBot="1">
      <c r="A6" s="603"/>
      <c r="B6" s="605"/>
      <c r="C6" s="605"/>
      <c r="D6" s="605"/>
      <c r="E6" s="4"/>
      <c r="F6" s="8"/>
      <c r="G6" s="1"/>
    </row>
    <row r="7" spans="1:7" ht="12" customHeight="1">
      <c r="A7" s="606">
        <v>18</v>
      </c>
      <c r="B7" s="607" t="str">
        <f>VLOOKUP(A7,'пр.взв.'!B10:C137,2,FALSE)</f>
        <v>АБДУЛКАДИРОВ Магомед Камингаджиевич</v>
      </c>
      <c r="C7" s="607" t="str">
        <f>VLOOKUP(A7,'пр.взв.'!B10:H137,3,FALSE)</f>
        <v>19.11.92, МС</v>
      </c>
      <c r="D7" s="607" t="str">
        <f>VLOOKUP(A7,'пр.взв.'!B10:F137,4,FALSE)</f>
        <v>СКФО</v>
      </c>
      <c r="E7" s="4"/>
      <c r="F7" s="5"/>
      <c r="G7" s="1"/>
    </row>
    <row r="8" spans="1:7" ht="12" customHeight="1">
      <c r="A8" s="602"/>
      <c r="B8" s="608"/>
      <c r="C8" s="608"/>
      <c r="D8" s="608"/>
      <c r="E8" s="9"/>
      <c r="F8" s="6"/>
      <c r="G8" s="1"/>
    </row>
    <row r="9" spans="1:7" ht="12" customHeight="1">
      <c r="A9" s="602">
        <v>50</v>
      </c>
      <c r="B9" s="604" t="str">
        <f>VLOOKUP(A9,'пр.взв.'!B12:C139,2,FALSE)</f>
        <v>ПРИКАЗЧИКОВ Владимир Александрович</v>
      </c>
      <c r="C9" s="604" t="str">
        <f>VLOOKUP(A9,'пр.взв.'!B12:H139,3,FALSE)</f>
        <v>06.11.87, ЗМС</v>
      </c>
      <c r="D9" s="604" t="str">
        <f>VLOOKUP(A9,'пр.взв.'!B12:F139,4,FALSE)</f>
        <v>МОС</v>
      </c>
      <c r="E9" s="2"/>
      <c r="F9" s="6"/>
      <c r="G9" s="1"/>
    </row>
    <row r="10" spans="1:7" ht="12" customHeight="1" thickBot="1">
      <c r="A10" s="603"/>
      <c r="B10" s="605"/>
      <c r="C10" s="605"/>
      <c r="D10" s="605"/>
      <c r="E10" s="1"/>
      <c r="F10" s="6"/>
      <c r="G10" s="8"/>
    </row>
    <row r="11" spans="1:7" ht="12" customHeight="1">
      <c r="A11" s="606">
        <v>10</v>
      </c>
      <c r="B11" s="607" t="str">
        <f>VLOOKUP(A11,'пр.взв.'!B14:C141,2,FALSE)</f>
        <v>КИЯТОВ Заур Шумафович</v>
      </c>
      <c r="C11" s="607" t="str">
        <f>VLOOKUP(A11,'пр.взв.'!B14:H141,3,FALSE)</f>
        <v>16.06.92, КМС</v>
      </c>
      <c r="D11" s="607" t="str">
        <f>VLOOKUP(A11,'пр.взв.'!B14:F141,4,FALSE)</f>
        <v>ЮФО</v>
      </c>
      <c r="E11" s="1"/>
      <c r="F11" s="6"/>
      <c r="G11" s="5"/>
    </row>
    <row r="12" spans="1:7" ht="12" customHeight="1">
      <c r="A12" s="602"/>
      <c r="B12" s="608"/>
      <c r="C12" s="608"/>
      <c r="D12" s="608"/>
      <c r="E12" s="7"/>
      <c r="F12" s="6"/>
      <c r="G12" s="6"/>
    </row>
    <row r="13" spans="1:7" ht="12" customHeight="1">
      <c r="A13" s="602">
        <v>42</v>
      </c>
      <c r="B13" s="604" t="str">
        <f>VLOOKUP(A13,'пр.взв.'!B16:C143,2,FALSE)</f>
        <v>ПАХОМОВ Иван Геннадьевич</v>
      </c>
      <c r="C13" s="604" t="str">
        <f>VLOOKUP(A13,'пр.взв.'!B16:H143,3,FALSE)</f>
        <v>03.10.94, МС</v>
      </c>
      <c r="D13" s="604" t="str">
        <f>VLOOKUP(A13,'пр.взв.'!B16:F143,4,FALSE)</f>
        <v>ЦФО</v>
      </c>
      <c r="E13" s="3"/>
      <c r="F13" s="6"/>
      <c r="G13" s="6"/>
    </row>
    <row r="14" spans="1:7" ht="12" customHeight="1" thickBot="1">
      <c r="A14" s="603"/>
      <c r="B14" s="605"/>
      <c r="C14" s="605"/>
      <c r="D14" s="605"/>
      <c r="E14" s="4"/>
      <c r="F14" s="10"/>
      <c r="G14" s="6"/>
    </row>
    <row r="15" spans="1:7" ht="12" customHeight="1">
      <c r="A15" s="606">
        <v>26</v>
      </c>
      <c r="B15" s="607" t="str">
        <f>VLOOKUP(A15,'пр.взв.'!B18:C145,2,FALSE)</f>
        <v>СУХОГУЗОВ Иван Сергеевич</v>
      </c>
      <c r="C15" s="607" t="str">
        <f>VLOOKUP(A15,'пр.взв.'!B18:H145,3,FALSE)</f>
        <v>19.02.92, МС</v>
      </c>
      <c r="D15" s="607" t="str">
        <f>VLOOKUP(A15,'пр.взв.'!B18:F145,4,FALSE)</f>
        <v>УФО</v>
      </c>
      <c r="E15" s="4"/>
      <c r="F15" s="1"/>
      <c r="G15" s="6"/>
    </row>
    <row r="16" spans="1:7" ht="12" customHeight="1">
      <c r="A16" s="602"/>
      <c r="B16" s="608"/>
      <c r="C16" s="608"/>
      <c r="D16" s="608"/>
      <c r="E16" s="9"/>
      <c r="F16" s="1"/>
      <c r="G16" s="6"/>
    </row>
    <row r="17" spans="1:7" ht="12" customHeight="1">
      <c r="A17" s="602">
        <v>58</v>
      </c>
      <c r="B17" s="604" t="e">
        <f>VLOOKUP(A17,'пр.взв.'!B20:C147,2,FALSE)</f>
        <v>#N/A</v>
      </c>
      <c r="C17" s="604" t="e">
        <f>VLOOKUP(A17,'пр.взв.'!B20:H147,3,FALSE)</f>
        <v>#N/A</v>
      </c>
      <c r="D17" s="604" t="e">
        <f>VLOOKUP(A17,'пр.взв.'!B20:F147,4,FALSE)</f>
        <v>#N/A</v>
      </c>
      <c r="E17" s="2"/>
      <c r="F17" s="1"/>
      <c r="G17" s="6"/>
    </row>
    <row r="18" spans="1:7" ht="12" customHeight="1" thickBot="1">
      <c r="A18" s="603"/>
      <c r="B18" s="605"/>
      <c r="C18" s="605"/>
      <c r="D18" s="605"/>
      <c r="E18" s="1"/>
      <c r="F18" s="1"/>
      <c r="G18" s="6"/>
    </row>
    <row r="19" spans="1:8" ht="12" customHeight="1">
      <c r="A19" s="606">
        <v>6</v>
      </c>
      <c r="B19" s="607" t="str">
        <f>VLOOKUP(A19,'пр.взв.'!B6:C133,2,FALSE)</f>
        <v>ОПРЯ Павел Иванович</v>
      </c>
      <c r="C19" s="607" t="str">
        <f>VLOOKUP(A19,'пр.взв.'!B6:H133,3,FALSE)</f>
        <v>16.02.89, МС</v>
      </c>
      <c r="D19" s="607" t="str">
        <f>VLOOKUP(A19,'пр.взв.'!B6:H133,4,FALSE)</f>
        <v>ДВФО</v>
      </c>
      <c r="E19" s="1"/>
      <c r="F19" s="1"/>
      <c r="G19" s="6"/>
      <c r="H19" s="36"/>
    </row>
    <row r="20" spans="1:8" ht="12" customHeight="1">
      <c r="A20" s="602"/>
      <c r="B20" s="608"/>
      <c r="C20" s="608"/>
      <c r="D20" s="608"/>
      <c r="E20" s="7"/>
      <c r="F20" s="1"/>
      <c r="G20" s="6"/>
      <c r="H20" s="35"/>
    </row>
    <row r="21" spans="1:8" ht="12" customHeight="1">
      <c r="A21" s="602">
        <v>38</v>
      </c>
      <c r="B21" s="604" t="str">
        <f>VLOOKUP(A21,'пр.взв.'!B24:C151,2,FALSE)</f>
        <v>ДЕМЬЯНЕНКО Сергей Александрович</v>
      </c>
      <c r="C21" s="604" t="str">
        <f>VLOOKUP(A21,'пр.взв.'!B24:H151,3,FALSE)</f>
        <v>13.02.92, МС</v>
      </c>
      <c r="D21" s="604" t="str">
        <f>VLOOKUP(A21,'пр.взв.'!B24:F151,4,FALSE)</f>
        <v>СФО</v>
      </c>
      <c r="E21" s="3"/>
      <c r="F21" s="1"/>
      <c r="G21" s="6"/>
      <c r="H21" s="35"/>
    </row>
    <row r="22" spans="1:8" ht="12" customHeight="1" thickBot="1">
      <c r="A22" s="603"/>
      <c r="B22" s="605"/>
      <c r="C22" s="605"/>
      <c r="D22" s="605"/>
      <c r="E22" s="4"/>
      <c r="F22" s="8"/>
      <c r="G22" s="6"/>
      <c r="H22" s="35"/>
    </row>
    <row r="23" spans="1:8" ht="12" customHeight="1">
      <c r="A23" s="606">
        <v>22</v>
      </c>
      <c r="B23" s="607" t="str">
        <f>VLOOKUP(A23,'пр.взв.'!B26:C153,2,FALSE)</f>
        <v>КОТОВ Максим Сергеевич</v>
      </c>
      <c r="C23" s="607" t="str">
        <f>VLOOKUP(A23,'пр.взв.'!B26:H153,3,FALSE)</f>
        <v>16.08.95, мс</v>
      </c>
      <c r="D23" s="607" t="str">
        <f>VLOOKUP(A23,'пр.взв.'!B26:F153,4,FALSE)</f>
        <v>ПФО</v>
      </c>
      <c r="E23" s="4"/>
      <c r="F23" s="5"/>
      <c r="G23" s="6"/>
      <c r="H23" s="35"/>
    </row>
    <row r="24" spans="1:8" ht="12" customHeight="1">
      <c r="A24" s="602"/>
      <c r="B24" s="608"/>
      <c r="C24" s="608"/>
      <c r="D24" s="608"/>
      <c r="E24" s="9"/>
      <c r="F24" s="6"/>
      <c r="G24" s="6"/>
      <c r="H24" s="35"/>
    </row>
    <row r="25" spans="1:8" ht="12" customHeight="1">
      <c r="A25" s="602">
        <v>54</v>
      </c>
      <c r="B25" s="604" t="e">
        <f>VLOOKUP(A25,'пр.взв.'!B28:C155,2,FALSE)</f>
        <v>#N/A</v>
      </c>
      <c r="C25" s="604" t="e">
        <f>VLOOKUP(A25,'пр.взв.'!B28:H155,3,FALSE)</f>
        <v>#N/A</v>
      </c>
      <c r="D25" s="604" t="e">
        <f>VLOOKUP(A25,'пр.взв.'!B28:F155,4,FALSE)</f>
        <v>#N/A</v>
      </c>
      <c r="E25" s="2"/>
      <c r="F25" s="6"/>
      <c r="G25" s="6"/>
      <c r="H25" s="35"/>
    </row>
    <row r="26" spans="1:8" ht="12" customHeight="1" thickBot="1">
      <c r="A26" s="603"/>
      <c r="B26" s="605"/>
      <c r="C26" s="605"/>
      <c r="D26" s="605"/>
      <c r="E26" s="1"/>
      <c r="F26" s="6"/>
      <c r="G26" s="6"/>
      <c r="H26" s="35"/>
    </row>
    <row r="27" spans="1:8" ht="12" customHeight="1">
      <c r="A27" s="606">
        <v>14</v>
      </c>
      <c r="B27" s="607" t="str">
        <f>VLOOKUP(A27,'пр.взв.'!B30:C157,2,FALSE)</f>
        <v>МАКСИМОВ Евгений Олегович</v>
      </c>
      <c r="C27" s="607" t="str">
        <f>VLOOKUP(A27,'пр.взв.'!B30:H157,3,FALSE)</f>
        <v>09.06.87, МС</v>
      </c>
      <c r="D27" s="607" t="str">
        <f>VLOOKUP(A27,'пр.взв.'!B30:F157,4,FALSE)</f>
        <v>ЦФО</v>
      </c>
      <c r="E27" s="1"/>
      <c r="F27" s="6"/>
      <c r="G27" s="10"/>
      <c r="H27" s="35"/>
    </row>
    <row r="28" spans="1:8" ht="12" customHeight="1">
      <c r="A28" s="602"/>
      <c r="B28" s="608"/>
      <c r="C28" s="608"/>
      <c r="D28" s="608"/>
      <c r="E28" s="7"/>
      <c r="F28" s="6"/>
      <c r="G28" s="1"/>
      <c r="H28" s="35"/>
    </row>
    <row r="29" spans="1:8" ht="12" customHeight="1">
      <c r="A29" s="602">
        <v>46</v>
      </c>
      <c r="B29" s="604" t="str">
        <f>VLOOKUP(A29,'пр.взв.'!B32:C159,2,FALSE)</f>
        <v>МОШЕНКО Никита Валерьевич</v>
      </c>
      <c r="C29" s="604" t="str">
        <f>VLOOKUP(A29,'пр.взв.'!B32:H159,3,FALSE)</f>
        <v>27.12.90, МС</v>
      </c>
      <c r="D29" s="604" t="str">
        <f>VLOOKUP(A29,'пр.взв.'!B32:F159,4,FALSE)</f>
        <v>МОС</v>
      </c>
      <c r="E29" s="3"/>
      <c r="F29" s="6"/>
      <c r="G29" s="1"/>
      <c r="H29" s="35"/>
    </row>
    <row r="30" spans="1:8" ht="12" customHeight="1" thickBot="1">
      <c r="A30" s="603"/>
      <c r="B30" s="605"/>
      <c r="C30" s="605"/>
      <c r="D30" s="605"/>
      <c r="E30" s="4"/>
      <c r="F30" s="10"/>
      <c r="G30" s="1"/>
      <c r="H30" s="35"/>
    </row>
    <row r="31" spans="1:8" ht="12" customHeight="1">
      <c r="A31" s="606">
        <v>30</v>
      </c>
      <c r="B31" s="607" t="str">
        <f>VLOOKUP(A31,'пр.взв.'!B34:C161,2,FALSE)</f>
        <v>ЕРМОЛАЕВ Сергей Алексеевич </v>
      </c>
      <c r="C31" s="607" t="str">
        <f>VLOOKUP(A31,'пр.взв.'!B34:H161,3,FALSE)</f>
        <v>14.07.89 мс</v>
      </c>
      <c r="D31" s="607" t="str">
        <f>VLOOKUP(A31,'пр.взв.'!B34:F161,4,FALSE)</f>
        <v>КФО</v>
      </c>
      <c r="E31" s="4"/>
      <c r="F31" s="1"/>
      <c r="G31" s="1"/>
      <c r="H31" s="35"/>
    </row>
    <row r="32" spans="1:8" ht="12" customHeight="1">
      <c r="A32" s="602"/>
      <c r="B32" s="608"/>
      <c r="C32" s="608"/>
      <c r="D32" s="608"/>
      <c r="E32" s="9"/>
      <c r="F32" s="1"/>
      <c r="G32" s="1"/>
      <c r="H32" s="35"/>
    </row>
    <row r="33" spans="1:8" ht="12" customHeight="1">
      <c r="A33" s="602">
        <v>62</v>
      </c>
      <c r="B33" s="604" t="e">
        <f>VLOOKUP(A33,'пр.взв.'!B36:C163,2,FALSE)</f>
        <v>#N/A</v>
      </c>
      <c r="C33" s="604" t="e">
        <f>VLOOKUP(A33,'пр.взв.'!B36:H163,3,FALSE)</f>
        <v>#N/A</v>
      </c>
      <c r="D33" s="604" t="e">
        <f>VLOOKUP(A33,'пр.взв.'!B36:F163,4,FALSE)</f>
        <v>#N/A</v>
      </c>
      <c r="E33" s="2"/>
      <c r="F33" s="1"/>
      <c r="G33" s="1"/>
      <c r="H33" s="35"/>
    </row>
    <row r="34" spans="1:8" ht="12" customHeight="1" thickBot="1">
      <c r="A34" s="603"/>
      <c r="B34" s="605"/>
      <c r="C34" s="605"/>
      <c r="D34" s="605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606">
        <v>4</v>
      </c>
      <c r="B36" s="607" t="str">
        <f>VLOOKUP(A36,'пр.взв.'!B6:H133,2,FALSE)</f>
        <v>ТЫЩЕНКО  Никита Викторович</v>
      </c>
      <c r="C36" s="607" t="str">
        <f>VLOOKUP(A36,'пр.взв.'!B6:H133,3,FALSE)</f>
        <v>13.04.1990, мс</v>
      </c>
      <c r="D36" s="607" t="str">
        <f>VLOOKUP(A36,'пр.взв.'!B6:H133,4,FALSE)</f>
        <v>СЕВ</v>
      </c>
      <c r="H36" s="35"/>
    </row>
    <row r="37" spans="1:8" ht="12" customHeight="1">
      <c r="A37" s="602"/>
      <c r="B37" s="608"/>
      <c r="C37" s="608"/>
      <c r="D37" s="608"/>
      <c r="E37" s="1"/>
      <c r="F37" s="1"/>
      <c r="H37" s="35"/>
    </row>
    <row r="38" spans="1:8" ht="12" customHeight="1">
      <c r="A38" s="602">
        <v>36</v>
      </c>
      <c r="B38" s="604" t="str">
        <f>VLOOKUP(A38,'пр.взв.'!B8:H135,2,FALSE)</f>
        <v>НОВИКОВ Семён Сергеевич</v>
      </c>
      <c r="C38" s="604" t="str">
        <f>VLOOKUP(A38,'пр.взв.'!B8:H135,3,FALSE)</f>
        <v>07.08.95, МС</v>
      </c>
      <c r="D38" s="604" t="str">
        <f>VLOOKUP(A38,'пр.взв.'!B8:H135,4,FALSE)</f>
        <v>МОС</v>
      </c>
      <c r="E38" s="3"/>
      <c r="F38" s="1"/>
      <c r="G38" s="1"/>
      <c r="H38" s="35"/>
    </row>
    <row r="39" spans="1:8" ht="12" customHeight="1" thickBot="1">
      <c r="A39" s="603"/>
      <c r="B39" s="605"/>
      <c r="C39" s="605"/>
      <c r="D39" s="605"/>
      <c r="E39" s="4"/>
      <c r="F39" s="8"/>
      <c r="G39" s="1"/>
      <c r="H39" s="35"/>
    </row>
    <row r="40" spans="1:8" ht="12" customHeight="1">
      <c r="A40" s="609">
        <v>20</v>
      </c>
      <c r="B40" s="607" t="str">
        <f>VLOOKUP(A40,'пр.взв.'!B10:H137,2,FALSE)</f>
        <v>БАШКИРОВ Юрий Юрьевич</v>
      </c>
      <c r="C40" s="607" t="str">
        <f>VLOOKUP(A40,'пр.взв.'!B10:H137,3,FALSE)</f>
        <v>07.11.92, МС</v>
      </c>
      <c r="D40" s="607" t="str">
        <f>VLOOKUP(A40,'пр.взв.'!B10:H137,4,FALSE)</f>
        <v>ДВФО</v>
      </c>
      <c r="E40" s="4"/>
      <c r="F40" s="5"/>
      <c r="G40" s="1"/>
      <c r="H40" s="35"/>
    </row>
    <row r="41" spans="1:8" ht="12" customHeight="1">
      <c r="A41" s="602"/>
      <c r="B41" s="608"/>
      <c r="C41" s="608"/>
      <c r="D41" s="608"/>
      <c r="E41" s="9"/>
      <c r="F41" s="6"/>
      <c r="G41" s="1"/>
      <c r="H41" s="35"/>
    </row>
    <row r="42" spans="1:8" ht="12" customHeight="1">
      <c r="A42" s="602">
        <v>52</v>
      </c>
      <c r="B42" s="604" t="str">
        <f>VLOOKUP(A42,'пр.взв.'!B12:H139,2,FALSE)</f>
        <v>МКРДУМЯН Гагик Гайкович</v>
      </c>
      <c r="C42" s="604" t="str">
        <f>VLOOKUP(A42,'пр.взв.'!B12:H139,3,FALSE)</f>
        <v>05.06.93 мс</v>
      </c>
      <c r="D42" s="604" t="str">
        <f>VLOOKUP(A42,'пр.взв.'!B12:H139,4,FALSE)</f>
        <v>ЮФО</v>
      </c>
      <c r="E42" s="2"/>
      <c r="F42" s="6"/>
      <c r="G42" s="1"/>
      <c r="H42" s="35"/>
    </row>
    <row r="43" spans="1:8" ht="12" customHeight="1" thickBot="1">
      <c r="A43" s="603"/>
      <c r="B43" s="605"/>
      <c r="C43" s="605"/>
      <c r="D43" s="605"/>
      <c r="E43" s="1"/>
      <c r="F43" s="6"/>
      <c r="G43" s="8"/>
      <c r="H43" s="35"/>
    </row>
    <row r="44" spans="1:8" ht="12" customHeight="1">
      <c r="A44" s="606">
        <v>12</v>
      </c>
      <c r="B44" s="607" t="str">
        <f>VLOOKUP(A44,'пр.взв.'!B14:H141,2,FALSE)</f>
        <v>КРИВЫХ Никита Александрович</v>
      </c>
      <c r="C44" s="607" t="str">
        <f>VLOOKUP(A44,'пр.взв.'!B14:H141,3,FALSE)</f>
        <v>22.11.93 кмс</v>
      </c>
      <c r="D44" s="607" t="str">
        <f>VLOOKUP(A44,'пр.взв.'!B14:H141,4,FALSE)</f>
        <v>УФО</v>
      </c>
      <c r="E44" s="1"/>
      <c r="F44" s="6"/>
      <c r="G44" s="5"/>
      <c r="H44" s="35"/>
    </row>
    <row r="45" spans="1:8" ht="12" customHeight="1">
      <c r="A45" s="602"/>
      <c r="B45" s="608"/>
      <c r="C45" s="608"/>
      <c r="D45" s="608"/>
      <c r="E45" s="7"/>
      <c r="F45" s="6"/>
      <c r="G45" s="6"/>
      <c r="H45" s="35"/>
    </row>
    <row r="46" spans="1:8" ht="12" customHeight="1">
      <c r="A46" s="602">
        <v>44</v>
      </c>
      <c r="B46" s="604" t="str">
        <f>VLOOKUP(A46,'пр.взв.'!B16:H143,2,FALSE)</f>
        <v>РЫБИН Дмитрий Сергеевич</v>
      </c>
      <c r="C46" s="604" t="str">
        <f>VLOOKUP(A46,'пр.взв.'!B16:H143,3,FALSE)</f>
        <v>18.08.93 мс</v>
      </c>
      <c r="D46" s="604" t="str">
        <f>VLOOKUP(A46,'пр.взв.'!B16:H143,4,FALSE)</f>
        <v>ЦФО</v>
      </c>
      <c r="E46" s="3"/>
      <c r="F46" s="6"/>
      <c r="G46" s="6"/>
      <c r="H46" s="35"/>
    </row>
    <row r="47" spans="1:8" ht="12" customHeight="1" thickBot="1">
      <c r="A47" s="603"/>
      <c r="B47" s="605"/>
      <c r="C47" s="605"/>
      <c r="D47" s="605"/>
      <c r="E47" s="4"/>
      <c r="F47" s="10"/>
      <c r="G47" s="6"/>
      <c r="H47" s="35"/>
    </row>
    <row r="48" spans="1:8" ht="12" customHeight="1">
      <c r="A48" s="606">
        <v>28</v>
      </c>
      <c r="B48" s="607" t="str">
        <f>VLOOKUP(A48,'пр.взв.'!B18:H145,2,FALSE)</f>
        <v>УЛЬЯХОВ Александр Александрович </v>
      </c>
      <c r="C48" s="607" t="str">
        <f>VLOOKUP(A48,'пр.взв.'!B18:H145,3,FALSE)</f>
        <v>16.07.88 мс</v>
      </c>
      <c r="D48" s="607" t="str">
        <f>VLOOKUP(A48,'пр.взв.'!B18:H145,4,FALSE)</f>
        <v>ЦФО</v>
      </c>
      <c r="E48" s="4"/>
      <c r="F48" s="1"/>
      <c r="G48" s="6"/>
      <c r="H48" s="35"/>
    </row>
    <row r="49" spans="1:8" ht="12" customHeight="1">
      <c r="A49" s="602"/>
      <c r="B49" s="608"/>
      <c r="C49" s="608"/>
      <c r="D49" s="608"/>
      <c r="E49" s="9"/>
      <c r="F49" s="1"/>
      <c r="G49" s="6"/>
      <c r="H49" s="35"/>
    </row>
    <row r="50" spans="1:8" ht="12" customHeight="1">
      <c r="A50" s="602">
        <v>60</v>
      </c>
      <c r="B50" s="604" t="e">
        <f>VLOOKUP(A50,'пр.взв.'!B20:H147,2,FALSE)</f>
        <v>#N/A</v>
      </c>
      <c r="C50" s="604" t="e">
        <f>VLOOKUP(A50,'пр.взв.'!B20:H147,3,FALSE)</f>
        <v>#N/A</v>
      </c>
      <c r="D50" s="604" t="e">
        <f>VLOOKUP(A50,'пр.взв.'!B20:H147,4,FALSE)</f>
        <v>#N/A</v>
      </c>
      <c r="E50" s="2"/>
      <c r="F50" s="1"/>
      <c r="G50" s="6"/>
      <c r="H50" s="35"/>
    </row>
    <row r="51" spans="1:8" ht="12" customHeight="1" thickBot="1">
      <c r="A51" s="603"/>
      <c r="B51" s="605"/>
      <c r="C51" s="605"/>
      <c r="D51" s="605"/>
      <c r="E51" s="1"/>
      <c r="F51" s="1"/>
      <c r="G51" s="6"/>
      <c r="H51" s="35"/>
    </row>
    <row r="52" spans="1:8" ht="12" customHeight="1">
      <c r="A52" s="606">
        <v>8</v>
      </c>
      <c r="B52" s="607" t="str">
        <f>VLOOKUP(A52,'пр.взв.'!B6:H133,2,FALSE)</f>
        <v>КУПРАШВИЛИ Родион Автандилович</v>
      </c>
      <c r="C52" s="607" t="str">
        <f>VLOOKUP(A52,'пр.взв.'!B6:H133,3,FALSE)</f>
        <v>07.02.95, МС</v>
      </c>
      <c r="D52" s="607" t="str">
        <f>VLOOKUP(A52,'пр.взв.'!B6:H133,4,FALSE)</f>
        <v>ЮФО</v>
      </c>
      <c r="E52" s="1"/>
      <c r="F52" s="1"/>
      <c r="G52" s="6"/>
      <c r="H52" s="35"/>
    </row>
    <row r="53" spans="1:8" ht="12" customHeight="1">
      <c r="A53" s="602"/>
      <c r="B53" s="608"/>
      <c r="C53" s="608"/>
      <c r="D53" s="608"/>
      <c r="E53" s="7"/>
      <c r="F53" s="1"/>
      <c r="G53" s="6"/>
      <c r="H53" s="37"/>
    </row>
    <row r="54" spans="1:7" ht="12" customHeight="1">
      <c r="A54" s="602">
        <v>40</v>
      </c>
      <c r="B54" s="604" t="str">
        <f>VLOOKUP(A54,'пр.взв.'!B24:H151,2,FALSE)</f>
        <v>КУРЖЕВ Али Рамазанович</v>
      </c>
      <c r="C54" s="604" t="str">
        <f>VLOOKUP(A54,'пр.взв.'!B24:H151,3,FALSE)</f>
        <v>28.04.89, МСМК</v>
      </c>
      <c r="D54" s="604" t="str">
        <f>VLOOKUP(A54,'пр.взв.'!B24:H151,4,FALSE)</f>
        <v>ЦФО</v>
      </c>
      <c r="E54" s="3"/>
      <c r="F54" s="1"/>
      <c r="G54" s="6"/>
    </row>
    <row r="55" spans="1:7" ht="12" customHeight="1" thickBot="1">
      <c r="A55" s="603"/>
      <c r="B55" s="605"/>
      <c r="C55" s="605"/>
      <c r="D55" s="605"/>
      <c r="E55" s="4"/>
      <c r="F55" s="8"/>
      <c r="G55" s="6"/>
    </row>
    <row r="56" spans="1:7" ht="12" customHeight="1">
      <c r="A56" s="606">
        <v>24</v>
      </c>
      <c r="B56" s="607" t="str">
        <f>VLOOKUP(A56,'пр.взв.'!B26:H153,2,FALSE)</f>
        <v>ХАРИТОНОВ Алексей Александрович</v>
      </c>
      <c r="C56" s="607" t="str">
        <f>VLOOKUP(A56,'пр.взв.'!B26:H153,3,FALSE)</f>
        <v>02.11.78 змс</v>
      </c>
      <c r="D56" s="607" t="str">
        <f>VLOOKUP(A56,'пр.взв.'!B26:H153,4,FALSE)</f>
        <v>ПФО</v>
      </c>
      <c r="E56" s="4"/>
      <c r="F56" s="5"/>
      <c r="G56" s="6"/>
    </row>
    <row r="57" spans="1:7" ht="12" customHeight="1">
      <c r="A57" s="602"/>
      <c r="B57" s="608"/>
      <c r="C57" s="608"/>
      <c r="D57" s="608"/>
      <c r="E57" s="9"/>
      <c r="F57" s="6"/>
      <c r="G57" s="6"/>
    </row>
    <row r="58" spans="1:7" ht="12" customHeight="1">
      <c r="A58" s="602">
        <v>56</v>
      </c>
      <c r="B58" s="604" t="e">
        <f>VLOOKUP(A58,'пр.взв.'!B28:H155,2,FALSE)</f>
        <v>#N/A</v>
      </c>
      <c r="C58" s="604" t="e">
        <f>VLOOKUP(A58,'пр.взв.'!B28:H155,3,FALSE)</f>
        <v>#N/A</v>
      </c>
      <c r="D58" s="604" t="e">
        <f>VLOOKUP(A58,'пр.взв.'!B28:H155,4,FALSE)</f>
        <v>#N/A</v>
      </c>
      <c r="E58" s="2"/>
      <c r="F58" s="6"/>
      <c r="G58" s="6"/>
    </row>
    <row r="59" spans="1:7" ht="12" customHeight="1" thickBot="1">
      <c r="A59" s="603"/>
      <c r="B59" s="605"/>
      <c r="C59" s="605"/>
      <c r="D59" s="605"/>
      <c r="E59" s="1"/>
      <c r="F59" s="6"/>
      <c r="G59" s="6"/>
    </row>
    <row r="60" spans="1:7" ht="12" customHeight="1">
      <c r="A60" s="606">
        <v>16</v>
      </c>
      <c r="B60" s="607" t="str">
        <f>VLOOKUP(A60,'пр.взв.'!B30:H157,2,FALSE)</f>
        <v>АХМАДОВ Арби Хусейнович</v>
      </c>
      <c r="C60" s="607" t="str">
        <f>VLOOKUP(A60,'пр.взв.'!B30:H157,3,FALSE)</f>
        <v>20.05.89, МС</v>
      </c>
      <c r="D60" s="607" t="str">
        <f>VLOOKUP(A60,'пр.взв.'!B30:H157,4,FALSE)</f>
        <v>СКФО</v>
      </c>
      <c r="E60" s="1"/>
      <c r="F60" s="6"/>
      <c r="G60" s="10"/>
    </row>
    <row r="61" spans="1:7" ht="12" customHeight="1">
      <c r="A61" s="602"/>
      <c r="B61" s="608"/>
      <c r="C61" s="608"/>
      <c r="D61" s="608"/>
      <c r="E61" s="7"/>
      <c r="F61" s="6"/>
      <c r="G61" s="1"/>
    </row>
    <row r="62" spans="1:7" ht="12" customHeight="1">
      <c r="A62" s="602">
        <v>48</v>
      </c>
      <c r="B62" s="604" t="str">
        <f>VLOOKUP(A62,'пр.взв.'!B32:H159,2,FALSE)</f>
        <v>ПЕРЕПЕЛЮК Андрей Александрович</v>
      </c>
      <c r="C62" s="604" t="str">
        <f>VLOOKUP(A62,'пр.взв.'!B32:H159,3,FALSE)</f>
        <v>06.08.85, МСМК</v>
      </c>
      <c r="D62" s="604" t="str">
        <f>VLOOKUP(A62,'пр.взв.'!B32:H159,4,FALSE)</f>
        <v>МОС</v>
      </c>
      <c r="E62" s="3"/>
      <c r="F62" s="6"/>
      <c r="G62" s="1"/>
    </row>
    <row r="63" spans="1:7" ht="12" customHeight="1" thickBot="1">
      <c r="A63" s="603"/>
      <c r="B63" s="605"/>
      <c r="C63" s="605"/>
      <c r="D63" s="605"/>
      <c r="E63" s="4"/>
      <c r="F63" s="10"/>
      <c r="G63" s="1"/>
    </row>
    <row r="64" spans="1:7" ht="12" customHeight="1">
      <c r="A64" s="606">
        <v>32</v>
      </c>
      <c r="B64" s="607" t="str">
        <f>VLOOKUP(A64,'пр.взв.'!B34:H161,2,FALSE)</f>
        <v>НИКУЛИН Иван Дмитриевич</v>
      </c>
      <c r="C64" s="607" t="str">
        <f>VLOOKUP(A64,'пр.взв.'!B34:H161,3,FALSE)</f>
        <v>20.03.93, МС</v>
      </c>
      <c r="D64" s="607" t="str">
        <f>VLOOKUP(A64,'пр.взв.'!B34:H161,4,FALSE)</f>
        <v>УФО</v>
      </c>
      <c r="E64" s="4"/>
      <c r="F64" s="1"/>
      <c r="G64" s="1"/>
    </row>
    <row r="65" spans="1:7" ht="12" customHeight="1">
      <c r="A65" s="602"/>
      <c r="B65" s="608"/>
      <c r="C65" s="608"/>
      <c r="D65" s="608"/>
      <c r="E65" s="9"/>
      <c r="F65" s="1"/>
      <c r="G65" s="1"/>
    </row>
    <row r="66" spans="1:7" ht="12" customHeight="1">
      <c r="A66" s="602">
        <v>64</v>
      </c>
      <c r="B66" s="604" t="e">
        <f>VLOOKUP(A66,'пр.взв.'!B36:H163,2,FALSE)</f>
        <v>#N/A</v>
      </c>
      <c r="C66" s="604" t="e">
        <f>VLOOKUP(A66,'пр.взв.'!B36:H163,3,FALSE)</f>
        <v>#N/A</v>
      </c>
      <c r="D66" s="604" t="e">
        <f>VLOOKUP(A66,'пр.взв.'!B36:H163,4,FALSE)</f>
        <v>#N/A</v>
      </c>
      <c r="E66" s="2"/>
      <c r="F66" s="1"/>
      <c r="G66" s="1"/>
    </row>
    <row r="67" spans="1:4" ht="12" customHeight="1" thickBot="1">
      <c r="A67" s="603"/>
      <c r="B67" s="605"/>
      <c r="C67" s="605"/>
      <c r="D67" s="605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611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612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613" t="str">
        <f>'[2]реквизиты'!$A$2</f>
        <v>Чемпионат России по  САМБО среди мужчин.</v>
      </c>
      <c r="B1" s="613"/>
      <c r="C1" s="613"/>
      <c r="D1" s="613"/>
      <c r="E1" s="613"/>
      <c r="F1" s="613"/>
      <c r="G1" s="613"/>
      <c r="H1" s="613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622"/>
      <c r="B2" s="623"/>
      <c r="C2" s="623"/>
      <c r="D2" s="623"/>
      <c r="E2" s="623"/>
      <c r="F2" s="623"/>
      <c r="G2" s="623"/>
      <c r="H2" s="610">
        <f>HYPERLINK('пр.взв.'!G4)</f>
      </c>
      <c r="O2" s="33"/>
      <c r="P2" s="33"/>
      <c r="Q2" s="33"/>
      <c r="R2" s="23"/>
      <c r="S2" s="23"/>
    </row>
    <row r="3" spans="1:8" ht="12" customHeight="1">
      <c r="A3" s="606">
        <v>1</v>
      </c>
      <c r="B3" s="618" t="str">
        <f>VLOOKUP(A3,'пр.взв.'!B6:C133,2,FALSE)</f>
        <v>ЖЕЛАГА Филипп Олегович</v>
      </c>
      <c r="C3" s="618" t="str">
        <f>VLOOKUP(A3,'пр.взв.'!B6:H133,3,FALSE)</f>
        <v>15.05.92, МС</v>
      </c>
      <c r="D3" s="618" t="str">
        <f>VLOOKUP(A3,'пр.взв.'!B6:F133,4,FALSE)</f>
        <v>ЦФО</v>
      </c>
      <c r="E3" s="49"/>
      <c r="F3" s="49"/>
      <c r="G3" s="49"/>
      <c r="H3" s="610"/>
    </row>
    <row r="4" spans="1:8" ht="12" customHeight="1">
      <c r="A4" s="602"/>
      <c r="B4" s="619"/>
      <c r="C4" s="619"/>
      <c r="D4" s="619"/>
      <c r="E4" s="1"/>
      <c r="F4" s="1"/>
      <c r="G4" s="50"/>
      <c r="H4" s="50"/>
    </row>
    <row r="5" spans="1:8" ht="12" customHeight="1">
      <c r="A5" s="602">
        <v>33</v>
      </c>
      <c r="B5" s="608" t="str">
        <f>VLOOKUP(A5,'пр.взв.'!B8:C135,2,FALSE)</f>
        <v>ФЕТИСОВ Алексей Игоревич</v>
      </c>
      <c r="C5" s="608" t="str">
        <f>VLOOKUP(A5,'пр.взв.'!B8:H135,3,FALSE)</f>
        <v>09.04.90 кмс</v>
      </c>
      <c r="D5" s="608" t="str">
        <f>VLOOKUP(A5,'пр.взв.'!B8:F135,4,FALSE)</f>
        <v>ЦФО</v>
      </c>
      <c r="E5" s="3"/>
      <c r="F5" s="1"/>
      <c r="G5" s="1"/>
      <c r="H5" s="610" t="s">
        <v>9</v>
      </c>
    </row>
    <row r="6" spans="1:8" ht="12" customHeight="1" thickBot="1">
      <c r="A6" s="603"/>
      <c r="B6" s="619"/>
      <c r="C6" s="619"/>
      <c r="D6" s="619"/>
      <c r="E6" s="4"/>
      <c r="F6" s="8"/>
      <c r="G6" s="1"/>
      <c r="H6" s="610"/>
    </row>
    <row r="7" spans="1:8" ht="12" customHeight="1">
      <c r="A7" s="606">
        <v>17</v>
      </c>
      <c r="B7" s="618" t="str">
        <f>VLOOKUP(A7,'пр.взв.'!B10:C137,2,FALSE)</f>
        <v>КИРИЛЛОВ Никита Викторович</v>
      </c>
      <c r="C7" s="618" t="str">
        <f>VLOOKUP(A7,'пр.взв.'!B10:H137,3,FALSE)</f>
        <v>07.06.97, КМС</v>
      </c>
      <c r="D7" s="618" t="str">
        <f>VLOOKUP(A7,'пр.взв.'!B10:F137,4,FALSE)</f>
        <v>СФО</v>
      </c>
      <c r="E7" s="4"/>
      <c r="F7" s="5"/>
      <c r="G7" s="1"/>
      <c r="H7" s="50"/>
    </row>
    <row r="8" spans="1:8" ht="12" customHeight="1">
      <c r="A8" s="602"/>
      <c r="B8" s="619"/>
      <c r="C8" s="619"/>
      <c r="D8" s="619"/>
      <c r="E8" s="9"/>
      <c r="F8" s="6"/>
      <c r="G8" s="1"/>
      <c r="H8" s="50"/>
    </row>
    <row r="9" spans="1:8" ht="12" customHeight="1">
      <c r="A9" s="602">
        <v>49</v>
      </c>
      <c r="B9" s="608" t="str">
        <f>VLOOKUP(A9,'пр.взв.'!B12:C139,2,FALSE)</f>
        <v>СИДАКОВ Азамат Мурадович</v>
      </c>
      <c r="C9" s="608" t="str">
        <f>VLOOKUP(A9,'пр.взв.'!B12:H139,3,FALSE)</f>
        <v>29.03.83, МС</v>
      </c>
      <c r="D9" s="608" t="str">
        <f>VLOOKUP(A9,'пр.взв.'!B12:F139,4,FALSE)</f>
        <v>СКФО</v>
      </c>
      <c r="E9" s="2"/>
      <c r="F9" s="6"/>
      <c r="G9" s="1"/>
      <c r="H9" s="50"/>
    </row>
    <row r="10" spans="1:8" ht="12" customHeight="1" thickBot="1">
      <c r="A10" s="603"/>
      <c r="B10" s="619"/>
      <c r="C10" s="619"/>
      <c r="D10" s="619"/>
      <c r="E10" s="1"/>
      <c r="F10" s="6"/>
      <c r="G10" s="8"/>
      <c r="H10" s="50"/>
    </row>
    <row r="11" spans="1:8" ht="12" customHeight="1">
      <c r="A11" s="606">
        <v>9</v>
      </c>
      <c r="B11" s="618" t="str">
        <f>VLOOKUP(A11,'пр.взв.'!B14:C141,2,FALSE)</f>
        <v>ПОЗДЕЕВ Дмитрий Андреевич</v>
      </c>
      <c r="C11" s="618" t="str">
        <f>VLOOKUP(A11,'пр.взв.'!B14:H141,3,FALSE)</f>
        <v>06.05.95, МС</v>
      </c>
      <c r="D11" s="618" t="str">
        <f>VLOOKUP(A11,'пр.взв.'!B14:F141,4,FALSE)</f>
        <v>УФО</v>
      </c>
      <c r="E11" s="1"/>
      <c r="F11" s="6"/>
      <c r="G11" s="5"/>
      <c r="H11" s="50"/>
    </row>
    <row r="12" spans="1:8" ht="12" customHeight="1">
      <c r="A12" s="602"/>
      <c r="B12" s="619"/>
      <c r="C12" s="619"/>
      <c r="D12" s="619"/>
      <c r="E12" s="7"/>
      <c r="F12" s="6"/>
      <c r="G12" s="6"/>
      <c r="H12" s="50"/>
    </row>
    <row r="13" spans="1:8" ht="12" customHeight="1">
      <c r="A13" s="602">
        <v>41</v>
      </c>
      <c r="B13" s="608" t="str">
        <f>VLOOKUP(A13,'пр.взв.'!B16:C143,2,FALSE)</f>
        <v>ЛЕБЕДЕВ Георгий Андреевич</v>
      </c>
      <c r="C13" s="608" t="str">
        <f>VLOOKUP(A13,'пр.взв.'!B16:H143,3,FALSE)</f>
        <v>12.07.91. мсмк</v>
      </c>
      <c r="D13" s="608" t="str">
        <f>VLOOKUP(A13,'пр.взв.'!B16:F143,4,FALSE)</f>
        <v>ПФО</v>
      </c>
      <c r="E13" s="3"/>
      <c r="F13" s="6"/>
      <c r="G13" s="6"/>
      <c r="H13" s="50"/>
    </row>
    <row r="14" spans="1:8" ht="12" customHeight="1" thickBot="1">
      <c r="A14" s="603"/>
      <c r="B14" s="619"/>
      <c r="C14" s="619"/>
      <c r="D14" s="619"/>
      <c r="E14" s="4"/>
      <c r="F14" s="10"/>
      <c r="G14" s="6"/>
      <c r="H14" s="50"/>
    </row>
    <row r="15" spans="1:8" ht="12" customHeight="1">
      <c r="A15" s="606">
        <v>25</v>
      </c>
      <c r="B15" s="618" t="str">
        <f>VLOOKUP(A15,'пр.взв.'!B18:C145,2,FALSE)</f>
        <v>КАЗАРЯН Тигран Седракович</v>
      </c>
      <c r="C15" s="618" t="str">
        <f>VLOOKUP(A15,'пр.взв.'!B18:H145,3,FALSE)</f>
        <v>14.02.87 мс</v>
      </c>
      <c r="D15" s="618" t="str">
        <f>VLOOKUP(A15,'пр.взв.'!B18:F145,4,FALSE)</f>
        <v>КФО</v>
      </c>
      <c r="E15" s="4"/>
      <c r="F15" s="1"/>
      <c r="G15" s="6"/>
      <c r="H15" s="50"/>
    </row>
    <row r="16" spans="1:8" ht="12" customHeight="1">
      <c r="A16" s="602"/>
      <c r="B16" s="619"/>
      <c r="C16" s="619"/>
      <c r="D16" s="619"/>
      <c r="E16" s="9"/>
      <c r="F16" s="1"/>
      <c r="G16" s="6"/>
      <c r="H16" s="50"/>
    </row>
    <row r="17" spans="1:8" ht="12" customHeight="1">
      <c r="A17" s="602">
        <v>57</v>
      </c>
      <c r="B17" s="608" t="e">
        <f>VLOOKUP(A17,'пр.взв.'!B20:C147,2,FALSE)</f>
        <v>#N/A</v>
      </c>
      <c r="C17" s="608" t="e">
        <f>VLOOKUP(A17,'пр.взв.'!B20:H147,3,FALSE)</f>
        <v>#N/A</v>
      </c>
      <c r="D17" s="608" t="e">
        <f>VLOOKUP(A17,'пр.взв.'!B20:F147,4,FALSE)</f>
        <v>#N/A</v>
      </c>
      <c r="E17" s="2"/>
      <c r="F17" s="1"/>
      <c r="G17" s="6"/>
      <c r="H17" s="50"/>
    </row>
    <row r="18" spans="1:8" ht="12" customHeight="1" thickBot="1">
      <c r="A18" s="603"/>
      <c r="B18" s="619"/>
      <c r="C18" s="619"/>
      <c r="D18" s="619"/>
      <c r="E18" s="1"/>
      <c r="F18" s="1"/>
      <c r="G18" s="6"/>
      <c r="H18" s="50"/>
    </row>
    <row r="19" spans="1:8" ht="12" customHeight="1">
      <c r="A19" s="606">
        <v>5</v>
      </c>
      <c r="B19" s="618" t="str">
        <f>VLOOKUP(A19,'пр.взв.'!B6:C133,2,FALSE)</f>
        <v>ХЛОПЕЦКИЙ Владимир Анатольевич</v>
      </c>
      <c r="C19" s="618" t="str">
        <f>VLOOKUP(A19,'пр.взв.'!B6:H133,3,FALSE)</f>
        <v>27.11.87, МС</v>
      </c>
      <c r="D19" s="618" t="str">
        <f>VLOOKUP(A19,'пр.взв.'!B6:H133,4,FALSE)</f>
        <v>МОС</v>
      </c>
      <c r="E19" s="1"/>
      <c r="F19" s="1"/>
      <c r="G19" s="6"/>
      <c r="H19" s="52"/>
    </row>
    <row r="20" spans="1:8" ht="12" customHeight="1">
      <c r="A20" s="602"/>
      <c r="B20" s="619"/>
      <c r="C20" s="619"/>
      <c r="D20" s="619"/>
      <c r="E20" s="7"/>
      <c r="F20" s="1"/>
      <c r="G20" s="6"/>
      <c r="H20" s="51"/>
    </row>
    <row r="21" spans="1:8" ht="12" customHeight="1">
      <c r="A21" s="602">
        <v>37</v>
      </c>
      <c r="B21" s="608" t="str">
        <f>VLOOKUP(A21,'пр.взв.'!B24:C151,2,FALSE)</f>
        <v>БОГДАНОВ Дмитрий Александрович</v>
      </c>
      <c r="C21" s="608" t="str">
        <f>VLOOKUP(A21,'пр.взв.'!B24:H151,3,FALSE)</f>
        <v>23.03.92, КМС</v>
      </c>
      <c r="D21" s="608" t="str">
        <f>VLOOKUP(A21,'пр.взв.'!B24:F151,4,FALSE)</f>
        <v>ЦФО</v>
      </c>
      <c r="E21" s="3"/>
      <c r="F21" s="1"/>
      <c r="G21" s="6"/>
      <c r="H21" s="51"/>
    </row>
    <row r="22" spans="1:8" ht="12" customHeight="1" thickBot="1">
      <c r="A22" s="603"/>
      <c r="B22" s="619"/>
      <c r="C22" s="619"/>
      <c r="D22" s="619"/>
      <c r="E22" s="4"/>
      <c r="F22" s="8"/>
      <c r="G22" s="6"/>
      <c r="H22" s="51"/>
    </row>
    <row r="23" spans="1:8" ht="12" customHeight="1">
      <c r="A23" s="606">
        <v>21</v>
      </c>
      <c r="B23" s="618" t="str">
        <f>VLOOKUP(A23,'пр.взв.'!B26:C153,2,FALSE)</f>
        <v>МАТЕВОСЯН Левон Эдуардович</v>
      </c>
      <c r="C23" s="618" t="str">
        <f>VLOOKUP(A23,'пр.взв.'!B26:H153,3,FALSE)</f>
        <v>30.10.1988 мс</v>
      </c>
      <c r="D23" s="618" t="str">
        <f>VLOOKUP(A23,'пр.взв.'!B26:F153,4,FALSE)</f>
        <v>ЮФО</v>
      </c>
      <c r="E23" s="4"/>
      <c r="F23" s="5"/>
      <c r="G23" s="6"/>
      <c r="H23" s="51"/>
    </row>
    <row r="24" spans="1:8" ht="12" customHeight="1">
      <c r="A24" s="602"/>
      <c r="B24" s="619"/>
      <c r="C24" s="619"/>
      <c r="D24" s="619"/>
      <c r="E24" s="9"/>
      <c r="F24" s="6"/>
      <c r="G24" s="6"/>
      <c r="H24" s="51"/>
    </row>
    <row r="25" spans="1:8" ht="12" customHeight="1">
      <c r="A25" s="602">
        <v>53</v>
      </c>
      <c r="B25" s="608" t="str">
        <f>VLOOKUP(A25,'пр.взв.'!B28:C155,2,FALSE)</f>
        <v>ХАТХОХУ Байзет Заурбиевич</v>
      </c>
      <c r="C25" s="608" t="str">
        <f>VLOOKUP(A25,'пр.взв.'!B28:H155,3,FALSE)</f>
        <v>19.01.91 кмс</v>
      </c>
      <c r="D25" s="608" t="str">
        <f>VLOOKUP(A25,'пр.взв.'!B28:F155,4,FALSE)</f>
        <v>ЮФО</v>
      </c>
      <c r="E25" s="2"/>
      <c r="F25" s="6"/>
      <c r="G25" s="6"/>
      <c r="H25" s="51"/>
    </row>
    <row r="26" spans="1:8" ht="12" customHeight="1" thickBot="1">
      <c r="A26" s="603"/>
      <c r="B26" s="619"/>
      <c r="C26" s="619"/>
      <c r="D26" s="619"/>
      <c r="E26" s="1"/>
      <c r="F26" s="6"/>
      <c r="G26" s="6"/>
      <c r="H26" s="51"/>
    </row>
    <row r="27" spans="1:8" ht="12" customHeight="1">
      <c r="A27" s="606">
        <v>13</v>
      </c>
      <c r="B27" s="618" t="str">
        <f>VLOOKUP(A27,'пр.взв.'!B30:C157,2,FALSE)</f>
        <v>КОКОВИЧ Илья Игоревич</v>
      </c>
      <c r="C27" s="618" t="str">
        <f>VLOOKUP(A27,'пр.взв.'!B30:H157,3,FALSE)</f>
        <v>15.06.88, МСМК</v>
      </c>
      <c r="D27" s="618" t="str">
        <f>VLOOKUP(A27,'пр.взв.'!B30:F157,4,FALSE)</f>
        <v>МОС</v>
      </c>
      <c r="E27" s="1"/>
      <c r="F27" s="6"/>
      <c r="G27" s="10"/>
      <c r="H27" s="51"/>
    </row>
    <row r="28" spans="1:8" ht="12" customHeight="1">
      <c r="A28" s="602"/>
      <c r="B28" s="619"/>
      <c r="C28" s="619"/>
      <c r="D28" s="619"/>
      <c r="E28" s="7"/>
      <c r="F28" s="6"/>
      <c r="G28" s="1"/>
      <c r="H28" s="51"/>
    </row>
    <row r="29" spans="1:8" ht="12" customHeight="1">
      <c r="A29" s="602">
        <v>45</v>
      </c>
      <c r="B29" s="608" t="str">
        <f>VLOOKUP(A29,'пр.взв.'!B32:C159,2,FALSE)</f>
        <v>ДЁМИН Антон Александрович</v>
      </c>
      <c r="C29" s="608" t="str">
        <f>VLOOKUP(A29,'пр.взв.'!B32:H159,3,FALSE)</f>
        <v>16.10.89, МС</v>
      </c>
      <c r="D29" s="608" t="str">
        <f>VLOOKUP(A29,'пр.взв.'!B32:F159,4,FALSE)</f>
        <v>ПФО</v>
      </c>
      <c r="E29" s="3"/>
      <c r="F29" s="6"/>
      <c r="G29" s="1"/>
      <c r="H29" s="51"/>
    </row>
    <row r="30" spans="1:8" ht="12" customHeight="1" thickBot="1">
      <c r="A30" s="603"/>
      <c r="B30" s="619"/>
      <c r="C30" s="619"/>
      <c r="D30" s="619"/>
      <c r="E30" s="4"/>
      <c r="F30" s="10"/>
      <c r="G30" s="1"/>
      <c r="H30" s="51"/>
    </row>
    <row r="31" spans="1:8" ht="12" customHeight="1">
      <c r="A31" s="606">
        <v>29</v>
      </c>
      <c r="B31" s="618" t="str">
        <f>VLOOKUP(A31,'пр.взв.'!B34:C161,2,FALSE)</f>
        <v>ГЕРЕКОВ Рустам Магомедрасулович</v>
      </c>
      <c r="C31" s="618" t="str">
        <f>VLOOKUP(A31,'пр.взв.'!B34:H161,3,FALSE)</f>
        <v>25.07.95, МС</v>
      </c>
      <c r="D31" s="618" t="str">
        <f>VLOOKUP(A31,'пр.взв.'!B34:F161,4,FALSE)</f>
        <v>СПБ</v>
      </c>
      <c r="E31" s="4"/>
      <c r="F31" s="1"/>
      <c r="G31" s="1"/>
      <c r="H31" s="51"/>
    </row>
    <row r="32" spans="1:8" ht="12" customHeight="1">
      <c r="A32" s="602"/>
      <c r="B32" s="619"/>
      <c r="C32" s="619"/>
      <c r="D32" s="619"/>
      <c r="E32" s="9"/>
      <c r="F32" s="1"/>
      <c r="G32" s="1"/>
      <c r="H32" s="51"/>
    </row>
    <row r="33" spans="1:8" ht="12" customHeight="1">
      <c r="A33" s="602">
        <v>61</v>
      </c>
      <c r="B33" s="616" t="e">
        <f>VLOOKUP(A33,'пр.взв.'!B36:C163,2,FALSE)</f>
        <v>#N/A</v>
      </c>
      <c r="C33" s="616" t="e">
        <f>VLOOKUP(A33,'пр.взв.'!B36:H163,3,FALSE)</f>
        <v>#N/A</v>
      </c>
      <c r="D33" s="616" t="e">
        <f>VLOOKUP(A33,'пр.взв.'!B36:F163,4,FALSE)</f>
        <v>#N/A</v>
      </c>
      <c r="E33" s="2"/>
      <c r="F33" s="1"/>
      <c r="G33" s="1"/>
      <c r="H33" s="51"/>
    </row>
    <row r="34" spans="1:8" ht="12" customHeight="1" thickBot="1">
      <c r="A34" s="603"/>
      <c r="B34" s="617"/>
      <c r="C34" s="617"/>
      <c r="D34" s="617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606">
        <v>3</v>
      </c>
      <c r="B36" s="618" t="str">
        <f>VLOOKUP(A36,'пр.взв.'!B6:H133,2,FALSE)</f>
        <v>ВИНОГРАДОВ Иван Владимирович</v>
      </c>
      <c r="C36" s="618" t="str">
        <f>VLOOKUP(A36,'пр.взв.'!B6:H133,3,FALSE)</f>
        <v>28.02.90, МС</v>
      </c>
      <c r="D36" s="618" t="str">
        <f>VLOOKUP(A36,'пр.взв.'!B6:H133,4,FALSE)</f>
        <v>ЦФО</v>
      </c>
      <c r="E36" s="49"/>
      <c r="F36" s="49"/>
      <c r="G36" s="49"/>
      <c r="H36" s="53"/>
    </row>
    <row r="37" spans="1:16" ht="12" customHeight="1">
      <c r="A37" s="602"/>
      <c r="B37" s="619"/>
      <c r="C37" s="619"/>
      <c r="D37" s="619"/>
      <c r="E37" s="1"/>
      <c r="F37" s="1"/>
      <c r="G37" s="50"/>
      <c r="H37" s="51"/>
      <c r="P37" s="12"/>
    </row>
    <row r="38" spans="1:8" ht="12" customHeight="1">
      <c r="A38" s="602">
        <v>35</v>
      </c>
      <c r="B38" s="608" t="str">
        <f>VLOOKUP(A38,'пр.взв.'!B8:H135,2,FALSE)</f>
        <v>АБДОКОВ Ринат Рамазанович</v>
      </c>
      <c r="C38" s="608" t="str">
        <f>VLOOKUP(A38,'пр.взв.'!B8:H135,3,FALSE)</f>
        <v>15.05.90, КМС</v>
      </c>
      <c r="D38" s="608" t="str">
        <f>VLOOKUP(A38,'пр.взв.'!B8:H135,4,FALSE)</f>
        <v>СКФО</v>
      </c>
      <c r="E38" s="3"/>
      <c r="F38" s="1"/>
      <c r="G38" s="1"/>
      <c r="H38" s="51"/>
    </row>
    <row r="39" spans="1:8" ht="12" customHeight="1" thickBot="1">
      <c r="A39" s="603"/>
      <c r="B39" s="619"/>
      <c r="C39" s="619"/>
      <c r="D39" s="619"/>
      <c r="E39" s="4"/>
      <c r="F39" s="8"/>
      <c r="G39" s="1"/>
      <c r="H39" s="51"/>
    </row>
    <row r="40" spans="1:8" ht="12" customHeight="1">
      <c r="A40" s="606">
        <v>19</v>
      </c>
      <c r="B40" s="618" t="str">
        <f>VLOOKUP(A40,'пр.взв.'!B10:H137,2,FALSE)</f>
        <v>ГАЛСТЯН Самвел Мкртичович</v>
      </c>
      <c r="C40" s="618" t="str">
        <f>VLOOKUP(A40,'пр.взв.'!B10:H137,3,FALSE)</f>
        <v>22.07.93 мс</v>
      </c>
      <c r="D40" s="618" t="str">
        <f>VLOOKUP(A40,'пр.взв.'!B10:H137,4,FALSE)</f>
        <v>ЮФО</v>
      </c>
      <c r="E40" s="4"/>
      <c r="F40" s="5"/>
      <c r="G40" s="1"/>
      <c r="H40" s="51"/>
    </row>
    <row r="41" spans="1:8" ht="12" customHeight="1">
      <c r="A41" s="602"/>
      <c r="B41" s="619"/>
      <c r="C41" s="619"/>
      <c r="D41" s="619"/>
      <c r="E41" s="9"/>
      <c r="F41" s="6"/>
      <c r="G41" s="1"/>
      <c r="H41" s="51"/>
    </row>
    <row r="42" spans="1:8" ht="12" customHeight="1">
      <c r="A42" s="602">
        <v>51</v>
      </c>
      <c r="B42" s="608" t="str">
        <f>VLOOKUP(A42,'пр.взв.'!B12:H139,2,FALSE)</f>
        <v>КОЖЕВНИКОВ Семен Николаевич</v>
      </c>
      <c r="C42" s="608" t="str">
        <f>VLOOKUP(A42,'пр.взв.'!B12:H139,3,FALSE)</f>
        <v>21.11.88, МС</v>
      </c>
      <c r="D42" s="608" t="str">
        <f>VLOOKUP(A42,'пр.взв.'!B12:H139,4,FALSE)</f>
        <v>СФО</v>
      </c>
      <c r="E42" s="2"/>
      <c r="F42" s="6"/>
      <c r="G42" s="1"/>
      <c r="H42" s="51"/>
    </row>
    <row r="43" spans="1:8" ht="12" customHeight="1" thickBot="1">
      <c r="A43" s="620"/>
      <c r="B43" s="619"/>
      <c r="C43" s="619"/>
      <c r="D43" s="619"/>
      <c r="E43" s="1"/>
      <c r="F43" s="6"/>
      <c r="G43" s="8"/>
      <c r="H43" s="51"/>
    </row>
    <row r="44" spans="1:8" ht="12" customHeight="1">
      <c r="A44" s="606">
        <v>11</v>
      </c>
      <c r="B44" s="618" t="str">
        <f>VLOOKUP(A44,'пр.взв.'!B14:H141,2,FALSE)</f>
        <v>СУХАНОВ Денис Николаевич</v>
      </c>
      <c r="C44" s="618" t="str">
        <f>VLOOKUP(A44,'пр.взв.'!B14:H141,3,FALSE)</f>
        <v>22.03.91 мсмк</v>
      </c>
      <c r="D44" s="618" t="str">
        <f>VLOOKUP(A44,'пр.взв.'!B14:H141,4,FALSE)</f>
        <v>УФО</v>
      </c>
      <c r="E44" s="1"/>
      <c r="F44" s="6"/>
      <c r="G44" s="5"/>
      <c r="H44" s="51"/>
    </row>
    <row r="45" spans="1:8" ht="12" customHeight="1">
      <c r="A45" s="602"/>
      <c r="B45" s="619"/>
      <c r="C45" s="619"/>
      <c r="D45" s="619"/>
      <c r="E45" s="7"/>
      <c r="F45" s="6"/>
      <c r="G45" s="6"/>
      <c r="H45" s="51"/>
    </row>
    <row r="46" spans="1:8" ht="12" customHeight="1">
      <c r="A46" s="602">
        <v>43</v>
      </c>
      <c r="B46" s="608" t="str">
        <f>VLOOKUP(A46,'пр.взв.'!B16:H143,2,FALSE)</f>
        <v>ПУЖАЕВ Владимир Владимирович</v>
      </c>
      <c r="C46" s="608" t="str">
        <f>VLOOKUP(A46,'пр.взв.'!B16:H143,3,FALSE)</f>
        <v>11.06.91, МСМК</v>
      </c>
      <c r="D46" s="608" t="str">
        <f>VLOOKUP(A46,'пр.взв.'!B16:H143,4,FALSE)</f>
        <v>МОС</v>
      </c>
      <c r="E46" s="3"/>
      <c r="F46" s="6"/>
      <c r="G46" s="6"/>
      <c r="H46" s="51"/>
    </row>
    <row r="47" spans="1:8" ht="12" customHeight="1" thickBot="1">
      <c r="A47" s="603"/>
      <c r="B47" s="619"/>
      <c r="C47" s="619"/>
      <c r="D47" s="619"/>
      <c r="E47" s="4"/>
      <c r="F47" s="10"/>
      <c r="G47" s="6"/>
      <c r="H47" s="51"/>
    </row>
    <row r="48" spans="1:8" ht="12" customHeight="1">
      <c r="A48" s="606">
        <v>27</v>
      </c>
      <c r="B48" s="618" t="str">
        <f>VLOOKUP(A48,'пр.взв.'!B18:H145,2,FALSE)</f>
        <v>КИРЮХИН Сергей Александрович</v>
      </c>
      <c r="C48" s="618" t="str">
        <f>VLOOKUP(A48,'пр.взв.'!B18:H145,3,FALSE)</f>
        <v>23.02.87, ЗМС</v>
      </c>
      <c r="D48" s="618" t="str">
        <f>VLOOKUP(A48,'пр.взв.'!B18:H145,4,FALSE)</f>
        <v>СПБ</v>
      </c>
      <c r="E48" s="4"/>
      <c r="F48" s="1"/>
      <c r="G48" s="6"/>
      <c r="H48" s="51"/>
    </row>
    <row r="49" spans="1:8" ht="12" customHeight="1">
      <c r="A49" s="602"/>
      <c r="B49" s="619"/>
      <c r="C49" s="619"/>
      <c r="D49" s="619"/>
      <c r="E49" s="9"/>
      <c r="F49" s="1"/>
      <c r="G49" s="6"/>
      <c r="H49" s="51"/>
    </row>
    <row r="50" spans="1:8" ht="12" customHeight="1">
      <c r="A50" s="602">
        <v>59</v>
      </c>
      <c r="B50" s="608" t="e">
        <f>VLOOKUP(A50,'пр.взв.'!B20:H147,2,FALSE)</f>
        <v>#N/A</v>
      </c>
      <c r="C50" s="608" t="e">
        <f>VLOOKUP(A50,'пр.взв.'!B20:H147,3,FALSE)</f>
        <v>#N/A</v>
      </c>
      <c r="D50" s="608" t="e">
        <f>VLOOKUP(A50,'пр.взв.'!B20:H147,4,FALSE)</f>
        <v>#N/A</v>
      </c>
      <c r="E50" s="2"/>
      <c r="F50" s="1"/>
      <c r="G50" s="6"/>
      <c r="H50" s="51"/>
    </row>
    <row r="51" spans="1:8" ht="12" customHeight="1" thickBot="1">
      <c r="A51" s="603"/>
      <c r="B51" s="619"/>
      <c r="C51" s="619"/>
      <c r="D51" s="619"/>
      <c r="E51" s="1"/>
      <c r="F51" s="1"/>
      <c r="G51" s="6"/>
      <c r="H51" s="51"/>
    </row>
    <row r="52" spans="1:8" ht="12" customHeight="1">
      <c r="A52" s="606">
        <v>7</v>
      </c>
      <c r="B52" s="618" t="str">
        <f>VLOOKUP(A52,'пр.взв.'!B6:H133,2,FALSE)</f>
        <v>АДАЕВ Исмаил Залимханович</v>
      </c>
      <c r="C52" s="618" t="str">
        <f>VLOOKUP(A52,'пр.взв.'!B6:H133,3,FALSE)</f>
        <v>09.04.94, КМС</v>
      </c>
      <c r="D52" s="618" t="str">
        <f>VLOOKUP(A52,'пр.взв.'!B6:H133,4,FALSE)</f>
        <v>УФО</v>
      </c>
      <c r="E52" s="1"/>
      <c r="F52" s="1"/>
      <c r="G52" s="6"/>
      <c r="H52" s="51"/>
    </row>
    <row r="53" spans="1:8" ht="12" customHeight="1">
      <c r="A53" s="602"/>
      <c r="B53" s="619"/>
      <c r="C53" s="619"/>
      <c r="D53" s="619"/>
      <c r="E53" s="7"/>
      <c r="F53" s="1"/>
      <c r="G53" s="6"/>
      <c r="H53" s="54"/>
    </row>
    <row r="54" spans="1:8" ht="12" customHeight="1">
      <c r="A54" s="602">
        <v>39</v>
      </c>
      <c r="B54" s="608" t="str">
        <f>VLOOKUP(A54,'пр.взв.'!B24:H151,2,FALSE)</f>
        <v>ШЕВЦОВ Андрей Андреевич</v>
      </c>
      <c r="C54" s="608" t="str">
        <f>VLOOKUP(A54,'пр.взв.'!B24:H151,3,FALSE)</f>
        <v>24.11.95 мс</v>
      </c>
      <c r="D54" s="608" t="str">
        <f>VLOOKUP(A54,'пр.взв.'!B24:H151,4,FALSE)</f>
        <v>ДВФО</v>
      </c>
      <c r="E54" s="3"/>
      <c r="F54" s="1"/>
      <c r="G54" s="6"/>
      <c r="H54" s="50"/>
    </row>
    <row r="55" spans="1:8" ht="12" customHeight="1" thickBot="1">
      <c r="A55" s="603"/>
      <c r="B55" s="619"/>
      <c r="C55" s="619"/>
      <c r="D55" s="619"/>
      <c r="E55" s="4"/>
      <c r="F55" s="8"/>
      <c r="G55" s="6"/>
      <c r="H55" s="50"/>
    </row>
    <row r="56" spans="1:8" ht="12" customHeight="1">
      <c r="A56" s="606">
        <v>23</v>
      </c>
      <c r="B56" s="618" t="str">
        <f>VLOOKUP(A56,'пр.взв.'!B26:H153,2,FALSE)</f>
        <v>БУДИМИРОВ Алексей Евгеньевич</v>
      </c>
      <c r="C56" s="618" t="str">
        <f>VLOOKUP(A56,'пр.взв.'!B26:H153,3,FALSE)</f>
        <v>06.03.90 мс</v>
      </c>
      <c r="D56" s="618" t="str">
        <f>VLOOKUP(A56,'пр.взв.'!B26:H153,4,FALSE)</f>
        <v>ПФО</v>
      </c>
      <c r="E56" s="4"/>
      <c r="F56" s="5"/>
      <c r="G56" s="6"/>
      <c r="H56" s="50"/>
    </row>
    <row r="57" spans="1:8" ht="12" customHeight="1">
      <c r="A57" s="602"/>
      <c r="B57" s="619"/>
      <c r="C57" s="619"/>
      <c r="D57" s="619"/>
      <c r="E57" s="9"/>
      <c r="F57" s="6"/>
      <c r="G57" s="6"/>
      <c r="H57" s="50"/>
    </row>
    <row r="58" spans="1:8" ht="12" customHeight="1">
      <c r="A58" s="602">
        <v>55</v>
      </c>
      <c r="B58" s="608" t="e">
        <f>VLOOKUP(A58,'пр.взв.'!B28:H155,2,FALSE)</f>
        <v>#N/A</v>
      </c>
      <c r="C58" s="608" t="e">
        <f>VLOOKUP(A58,'пр.взв.'!B28:H155,3,FALSE)</f>
        <v>#N/A</v>
      </c>
      <c r="D58" s="608" t="e">
        <f>VLOOKUP(A58,'пр.взв.'!B28:H155,4,FALSE)</f>
        <v>#N/A</v>
      </c>
      <c r="E58" s="2"/>
      <c r="F58" s="6"/>
      <c r="G58" s="6"/>
      <c r="H58" s="50"/>
    </row>
    <row r="59" spans="1:8" ht="12" customHeight="1" thickBot="1">
      <c r="A59" s="603"/>
      <c r="B59" s="619"/>
      <c r="C59" s="619"/>
      <c r="D59" s="619"/>
      <c r="E59" s="1"/>
      <c r="F59" s="6"/>
      <c r="G59" s="6"/>
      <c r="H59" s="50"/>
    </row>
    <row r="60" spans="1:8" ht="12" customHeight="1">
      <c r="A60" s="606">
        <v>15</v>
      </c>
      <c r="B60" s="618" t="str">
        <f>VLOOKUP(A60,'пр.взв.'!B30:H157,2,FALSE)</f>
        <v>КОРОЛЕВ Сергей Владимирович</v>
      </c>
      <c r="C60" s="618">
        <f>VLOOKUP(A60,'пр.взв.'!B30:H157,3,FALSE)</f>
        <v>32198</v>
      </c>
      <c r="D60" s="618" t="str">
        <f>VLOOKUP(A60,'пр.взв.'!B30:H157,4,FALSE)</f>
        <v>ЦФО</v>
      </c>
      <c r="E60" s="1"/>
      <c r="F60" s="6"/>
      <c r="G60" s="10"/>
      <c r="H60" s="50"/>
    </row>
    <row r="61" spans="1:8" ht="12" customHeight="1">
      <c r="A61" s="602"/>
      <c r="B61" s="619"/>
      <c r="C61" s="619"/>
      <c r="D61" s="619"/>
      <c r="E61" s="7"/>
      <c r="F61" s="6"/>
      <c r="G61" s="1"/>
      <c r="H61" s="50"/>
    </row>
    <row r="62" spans="1:8" ht="12" customHeight="1">
      <c r="A62" s="602">
        <v>47</v>
      </c>
      <c r="B62" s="608" t="str">
        <f>VLOOKUP(A62,'пр.взв.'!B32:H159,2,FALSE)</f>
        <v>МОТОРКИН Андрей Владимирович</v>
      </c>
      <c r="C62" s="608" t="str">
        <f>VLOOKUP(A62,'пр.взв.'!B32:H159,3,FALSE)</f>
        <v>19.07.80 мсмк</v>
      </c>
      <c r="D62" s="608" t="str">
        <f>VLOOKUP(A62,'пр.взв.'!B32:H159,4,FALSE)</f>
        <v>ЦФО</v>
      </c>
      <c r="E62" s="3"/>
      <c r="F62" s="6"/>
      <c r="G62" s="1"/>
      <c r="H62" s="50"/>
    </row>
    <row r="63" spans="1:8" ht="12" customHeight="1" thickBot="1">
      <c r="A63" s="603"/>
      <c r="B63" s="619"/>
      <c r="C63" s="619"/>
      <c r="D63" s="619"/>
      <c r="E63" s="4"/>
      <c r="F63" s="10"/>
      <c r="G63" s="1"/>
      <c r="H63" s="50"/>
    </row>
    <row r="64" spans="1:8" ht="12" customHeight="1">
      <c r="A64" s="606">
        <v>31</v>
      </c>
      <c r="B64" s="618" t="str">
        <f>VLOOKUP(A64,'пр.взв.'!B34:H161,2,FALSE)</f>
        <v>АЙНУЛЛИН Равиль  Жафярович</v>
      </c>
      <c r="C64" s="618" t="str">
        <f>VLOOKUP(A64,'пр.взв.'!B34:H161,3,FALSE)</f>
        <v>17.06.89, МС</v>
      </c>
      <c r="D64" s="618" t="str">
        <f>VLOOKUP(A64,'пр.взв.'!B34:H161,4,FALSE)</f>
        <v>МОС</v>
      </c>
      <c r="E64" s="4"/>
      <c r="F64" s="1"/>
      <c r="G64" s="1"/>
      <c r="H64" s="50"/>
    </row>
    <row r="65" spans="1:8" ht="12" customHeight="1">
      <c r="A65" s="602"/>
      <c r="B65" s="619"/>
      <c r="C65" s="619"/>
      <c r="D65" s="619"/>
      <c r="E65" s="9"/>
      <c r="F65" s="1"/>
      <c r="G65" s="1"/>
      <c r="H65" s="50"/>
    </row>
    <row r="66" spans="1:8" ht="12" customHeight="1">
      <c r="A66" s="602">
        <v>63</v>
      </c>
      <c r="B66" s="616" t="e">
        <f>VLOOKUP(A66,'пр.взв.'!B36:H163,2,FALSE)</f>
        <v>#N/A</v>
      </c>
      <c r="C66" s="616" t="e">
        <f>VLOOKUP(A66,'пр.взв.'!B36:H163,3,FALSE)</f>
        <v>#N/A</v>
      </c>
      <c r="D66" s="616" t="e">
        <f>VLOOKUP(A66,'пр.взв.'!B36:H163,4,FALSE)</f>
        <v>#N/A</v>
      </c>
      <c r="E66" s="2"/>
      <c r="F66" s="1"/>
      <c r="G66" s="1"/>
      <c r="H66" s="50"/>
    </row>
    <row r="67" spans="1:8" ht="12" customHeight="1" thickBot="1">
      <c r="A67" s="603"/>
      <c r="B67" s="617"/>
      <c r="C67" s="617"/>
      <c r="D67" s="617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621">
        <f>HYPERLINK('пр.взв.'!G4)</f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612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2016-03-08T10:10:08Z</cp:lastPrinted>
  <dcterms:created xsi:type="dcterms:W3CDTF">1996-10-08T23:32:33Z</dcterms:created>
  <dcterms:modified xsi:type="dcterms:W3CDTF">2016-03-08T10:10:25Z</dcterms:modified>
  <cp:category/>
  <cp:version/>
  <cp:contentType/>
  <cp:contentStatus/>
</cp:coreProperties>
</file>